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06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LB/Principles of Finance/2025C/"/>
    </mc:Choice>
  </mc:AlternateContent>
  <xr:revisionPtr revIDLastSave="1400" documentId="13_ncr:1_{597316DF-A655-C74C-A849-16DA9B92B8D7}" xr6:coauthVersionLast="47" xr6:coauthVersionMax="47" xr10:uidLastSave="{FB31DB7B-AEDC-1645-8E90-DA6349D8F80E}"/>
  <bookViews>
    <workbookView xWindow="0" yWindow="620" windowWidth="38080" windowHeight="21620" activeTab="3" xr2:uid="{81B576EB-13B6-6B4B-A090-1F432984074C}"/>
  </bookViews>
  <sheets>
    <sheet name="שיעור 1" sheetId="1" r:id="rId1"/>
    <sheet name="שיעור 2" sheetId="2" r:id="rId2"/>
    <sheet name="שיעור 3" sheetId="3" r:id="rId3"/>
    <sheet name="שיעור 4" sheetId="4" r:id="rId4"/>
    <sheet name="שיעור 5" sheetId="5" r:id="rId5"/>
    <sheet name="שיעור 6" sheetId="6" r:id="rId6"/>
    <sheet name="שיעור 7 ופתרון מטלה 1" sheetId="7" r:id="rId7"/>
    <sheet name="שיעור 8" sheetId="8" r:id="rId8"/>
    <sheet name="שיעור 9" sheetId="9" r:id="rId9"/>
    <sheet name="שיעור 10" sheetId="10" r:id="rId10"/>
    <sheet name="שיעור 11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339" i="4" l="1"/>
  <c r="G335" i="4"/>
  <c r="D320" i="4"/>
  <c r="D276" i="4"/>
  <c r="D277" i="4" s="1"/>
  <c r="E133" i="4"/>
  <c r="E135" i="4" s="1"/>
  <c r="D118" i="4"/>
  <c r="D117" i="4"/>
  <c r="E87" i="4"/>
  <c r="C85" i="4"/>
  <c r="C87" i="4" s="1"/>
  <c r="C93" i="4" s="1"/>
  <c r="D85" i="4"/>
  <c r="D87" i="4" s="1"/>
  <c r="D93" i="4" s="1"/>
  <c r="C35" i="4"/>
  <c r="C201" i="3"/>
  <c r="D201" i="3"/>
  <c r="F205" i="3"/>
  <c r="E203" i="3" s="1"/>
  <c r="E205" i="3" s="1"/>
  <c r="D203" i="3" s="1"/>
  <c r="D205" i="3" s="1"/>
  <c r="C203" i="3" s="1"/>
  <c r="C205" i="3" s="1"/>
  <c r="F207" i="3" s="1"/>
  <c r="B223" i="3"/>
  <c r="E223" i="3"/>
  <c r="D223" i="3" s="1"/>
  <c r="F226" i="3"/>
  <c r="E224" i="3" s="1"/>
  <c r="E226" i="3" s="1"/>
  <c r="D224" i="3" s="1"/>
  <c r="A231" i="3"/>
  <c r="E232" i="3"/>
  <c r="E245" i="3"/>
  <c r="F245" i="3"/>
  <c r="F246" i="3"/>
  <c r="E248" i="3"/>
  <c r="B277" i="3"/>
  <c r="C277" i="3"/>
  <c r="C278" i="3"/>
  <c r="E278" i="3"/>
  <c r="F279" i="3"/>
  <c r="F281" i="3" s="1"/>
  <c r="E279" i="3" s="1"/>
  <c r="D280" i="3"/>
  <c r="C280" i="3" s="1"/>
  <c r="B280" i="3" s="1"/>
  <c r="F295" i="3"/>
  <c r="E296" i="3"/>
  <c r="F296" i="3"/>
  <c r="F299" i="3" s="1"/>
  <c r="E297" i="3" s="1"/>
  <c r="E299" i="3" s="1"/>
  <c r="D297" i="3" s="1"/>
  <c r="D299" i="3" s="1"/>
  <c r="F313" i="3"/>
  <c r="B317" i="3"/>
  <c r="D156" i="3"/>
  <c r="E160" i="3"/>
  <c r="D158" i="3" s="1"/>
  <c r="C178" i="3"/>
  <c r="C177" i="3"/>
  <c r="C180" i="3"/>
  <c r="D178" i="3"/>
  <c r="D181" i="3" s="1"/>
  <c r="C179" i="3" s="1"/>
  <c r="F152" i="3"/>
  <c r="B119" i="3"/>
  <c r="A117" i="3" s="1"/>
  <c r="A119" i="3" s="1"/>
  <c r="K79" i="3"/>
  <c r="J77" i="3" s="1"/>
  <c r="J79" i="3" s="1"/>
  <c r="I77" i="3" s="1"/>
  <c r="I79" i="3" s="1"/>
  <c r="H77" i="3" s="1"/>
  <c r="H79" i="3" s="1"/>
  <c r="E32" i="3"/>
  <c r="D294" i="2"/>
  <c r="D296" i="2"/>
  <c r="E296" i="2"/>
  <c r="D292" i="2"/>
  <c r="E292" i="2"/>
  <c r="D278" i="2"/>
  <c r="E278" i="2"/>
  <c r="F278" i="2"/>
  <c r="F282" i="2" s="1"/>
  <c r="E280" i="2" s="1"/>
  <c r="F214" i="2"/>
  <c r="E212" i="2" s="1"/>
  <c r="E214" i="2" s="1"/>
  <c r="D212" i="2" s="1"/>
  <c r="D214" i="2" s="1"/>
  <c r="C237" i="1"/>
  <c r="C234" i="1"/>
  <c r="A241" i="1"/>
  <c r="C241" i="1"/>
  <c r="C235" i="1"/>
  <c r="B57" i="1"/>
  <c r="F189" i="11"/>
  <c r="I178" i="11"/>
  <c r="G176" i="11"/>
  <c r="G164" i="11"/>
  <c r="F153" i="11"/>
  <c r="F151" i="11"/>
  <c r="F150" i="11"/>
  <c r="F125" i="11"/>
  <c r="E120" i="11"/>
  <c r="E119" i="11" s="1"/>
  <c r="C88" i="11"/>
  <c r="C89" i="11"/>
  <c r="E89" i="11"/>
  <c r="D89" i="11" s="1"/>
  <c r="E88" i="11"/>
  <c r="F89" i="11"/>
  <c r="F88" i="11"/>
  <c r="H201" i="10"/>
  <c r="H200" i="10"/>
  <c r="H162" i="10"/>
  <c r="H161" i="10"/>
  <c r="H83" i="10"/>
  <c r="H85" i="10" s="1"/>
  <c r="H105" i="10"/>
  <c r="H107" i="10" s="1"/>
  <c r="B93" i="10"/>
  <c r="B63" i="10"/>
  <c r="H53" i="10"/>
  <c r="H55" i="10" s="1"/>
  <c r="D168" i="9"/>
  <c r="G185" i="9"/>
  <c r="D178" i="9"/>
  <c r="G178" i="9" s="1"/>
  <c r="D169" i="9"/>
  <c r="A178" i="9"/>
  <c r="A169" i="9"/>
  <c r="A168" i="9"/>
  <c r="D167" i="9"/>
  <c r="A167" i="9"/>
  <c r="D170" i="9"/>
  <c r="G170" i="9" s="1"/>
  <c r="G136" i="9"/>
  <c r="G135" i="9"/>
  <c r="D135" i="9"/>
  <c r="D136" i="9" s="1"/>
  <c r="B117" i="9"/>
  <c r="B116" i="9"/>
  <c r="D101" i="9"/>
  <c r="F91" i="9"/>
  <c r="E77" i="9"/>
  <c r="G33" i="9"/>
  <c r="G51" i="9"/>
  <c r="C33" i="9"/>
  <c r="D34" i="9"/>
  <c r="C35" i="9" s="1"/>
  <c r="D33" i="9"/>
  <c r="C34" i="9" s="1"/>
  <c r="B33" i="9"/>
  <c r="B34" i="9" s="1"/>
  <c r="B35" i="9" s="1"/>
  <c r="B36" i="9" s="1"/>
  <c r="B37" i="9" s="1"/>
  <c r="E212" i="7"/>
  <c r="D210" i="7" s="1"/>
  <c r="C220" i="7"/>
  <c r="C219" i="7"/>
  <c r="D220" i="7"/>
  <c r="E223" i="7"/>
  <c r="D221" i="7" s="1"/>
  <c r="C188" i="7"/>
  <c r="B186" i="7" s="1"/>
  <c r="B196" i="7"/>
  <c r="B184" i="7"/>
  <c r="B180" i="7"/>
  <c r="C166" i="7"/>
  <c r="D170" i="7"/>
  <c r="C168" i="7" s="1"/>
  <c r="B157" i="7"/>
  <c r="B161" i="7" s="1"/>
  <c r="B149" i="7"/>
  <c r="B153" i="7" s="1"/>
  <c r="B145" i="7"/>
  <c r="F165" i="8"/>
  <c r="F164" i="8"/>
  <c r="F163" i="8"/>
  <c r="F162" i="8"/>
  <c r="G143" i="8"/>
  <c r="G142" i="8"/>
  <c r="G141" i="8"/>
  <c r="G140" i="8"/>
  <c r="G133" i="8"/>
  <c r="G132" i="8"/>
  <c r="G131" i="8"/>
  <c r="G130" i="8"/>
  <c r="H118" i="8"/>
  <c r="H117" i="8"/>
  <c r="H116" i="8"/>
  <c r="H115" i="8"/>
  <c r="F63" i="8"/>
  <c r="F65" i="8" s="1"/>
  <c r="F67" i="8" s="1"/>
  <c r="C338" i="7"/>
  <c r="C341" i="7" s="1"/>
  <c r="G342" i="7" s="1"/>
  <c r="B333" i="7"/>
  <c r="G338" i="7"/>
  <c r="D293" i="7"/>
  <c r="D295" i="7" s="1"/>
  <c r="C301" i="7" s="1"/>
  <c r="B295" i="7"/>
  <c r="C302" i="7" s="1"/>
  <c r="F295" i="7"/>
  <c r="C300" i="7" s="1"/>
  <c r="E257" i="7"/>
  <c r="E258" i="7" s="1"/>
  <c r="C257" i="7"/>
  <c r="C258" i="7" s="1"/>
  <c r="F239" i="6"/>
  <c r="B239" i="6"/>
  <c r="B233" i="6"/>
  <c r="F233" i="6"/>
  <c r="C213" i="6"/>
  <c r="E206" i="6"/>
  <c r="E207" i="6"/>
  <c r="D184" i="6"/>
  <c r="E169" i="6"/>
  <c r="D152" i="6"/>
  <c r="F145" i="6"/>
  <c r="F137" i="6"/>
  <c r="E110" i="6"/>
  <c r="E113" i="6" s="1"/>
  <c r="D103" i="6"/>
  <c r="E78" i="6"/>
  <c r="E81" i="6"/>
  <c r="E58" i="6"/>
  <c r="E61" i="6" s="1"/>
  <c r="F41" i="6"/>
  <c r="F43" i="6" s="1"/>
  <c r="F42" i="6"/>
  <c r="E35" i="6"/>
  <c r="E175" i="5"/>
  <c r="D177" i="5" s="1"/>
  <c r="D175" i="5" s="1"/>
  <c r="C177" i="5" s="1"/>
  <c r="C175" i="5" s="1"/>
  <c r="E137" i="5"/>
  <c r="D139" i="5" s="1"/>
  <c r="D137" i="5" s="1"/>
  <c r="C139" i="5" s="1"/>
  <c r="C137" i="5" s="1"/>
  <c r="G106" i="5"/>
  <c r="G107" i="5" s="1"/>
  <c r="F109" i="5" s="1"/>
  <c r="F107" i="5" s="1"/>
  <c r="E109" i="5" s="1"/>
  <c r="E107" i="5" s="1"/>
  <c r="D109" i="5" s="1"/>
  <c r="D107" i="5" s="1"/>
  <c r="C109" i="5" s="1"/>
  <c r="C107" i="5" s="1"/>
  <c r="C96" i="5"/>
  <c r="E96" i="5"/>
  <c r="F96" i="5"/>
  <c r="A96" i="5"/>
  <c r="F71" i="5"/>
  <c r="E73" i="5" s="1"/>
  <c r="E71" i="5" s="1"/>
  <c r="E57" i="5"/>
  <c r="B57" i="5"/>
  <c r="E41" i="5"/>
  <c r="C362" i="4"/>
  <c r="C361" i="4"/>
  <c r="D249" i="4"/>
  <c r="D250" i="4" s="1"/>
  <c r="G235" i="4"/>
  <c r="G238" i="4" s="1"/>
  <c r="D233" i="4" s="1"/>
  <c r="G242" i="4"/>
  <c r="D237" i="4"/>
  <c r="D234" i="4"/>
  <c r="E209" i="4"/>
  <c r="E210" i="4" s="1"/>
  <c r="E195" i="4"/>
  <c r="E194" i="4"/>
  <c r="E198" i="4" s="1"/>
  <c r="E182" i="4"/>
  <c r="E181" i="4"/>
  <c r="E166" i="4"/>
  <c r="E167" i="4" s="1"/>
  <c r="E150" i="4"/>
  <c r="E151" i="4" s="1"/>
  <c r="E103" i="4"/>
  <c r="E65" i="4"/>
  <c r="F132" i="3"/>
  <c r="E130" i="3" s="1"/>
  <c r="E132" i="3" s="1"/>
  <c r="E99" i="3"/>
  <c r="F100" i="3"/>
  <c r="E98" i="3" s="1"/>
  <c r="D81" i="3"/>
  <c r="D62" i="3"/>
  <c r="C62" i="3" s="1"/>
  <c r="F63" i="3"/>
  <c r="E61" i="3" s="1"/>
  <c r="E63" i="3" s="1"/>
  <c r="D61" i="3" s="1"/>
  <c r="F36" i="3"/>
  <c r="E34" i="3" s="1"/>
  <c r="D21" i="3"/>
  <c r="C21" i="3"/>
  <c r="D441" i="2"/>
  <c r="C464" i="2"/>
  <c r="D464" i="2"/>
  <c r="E464" i="2"/>
  <c r="E468" i="2" s="1"/>
  <c r="D466" i="2" s="1"/>
  <c r="C441" i="2"/>
  <c r="E445" i="2"/>
  <c r="D443" i="2" s="1"/>
  <c r="B422" i="2"/>
  <c r="C422" i="2"/>
  <c r="C426" i="2" s="1"/>
  <c r="B424" i="2" s="1"/>
  <c r="B406" i="2"/>
  <c r="C406" i="2"/>
  <c r="C410" i="2" s="1"/>
  <c r="B408" i="2" s="1"/>
  <c r="C391" i="2"/>
  <c r="C395" i="2" s="1"/>
  <c r="B393" i="2" s="1"/>
  <c r="B395" i="2" s="1"/>
  <c r="C377" i="2"/>
  <c r="C381" i="2"/>
  <c r="B379" i="2" s="1"/>
  <c r="B381" i="2" s="1"/>
  <c r="C362" i="2"/>
  <c r="C366" i="2" s="1"/>
  <c r="B364" i="2" s="1"/>
  <c r="B366" i="2" s="1"/>
  <c r="C351" i="2"/>
  <c r="B349" i="2" s="1"/>
  <c r="B351" i="2" s="1"/>
  <c r="C333" i="2"/>
  <c r="C337" i="2" s="1"/>
  <c r="C323" i="2"/>
  <c r="D119" i="4" l="1"/>
  <c r="C363" i="4"/>
  <c r="D235" i="4"/>
  <c r="E246" i="3"/>
  <c r="F249" i="3"/>
  <c r="D160" i="3"/>
  <c r="C181" i="3"/>
  <c r="B278" i="3"/>
  <c r="E281" i="3"/>
  <c r="D279" i="3" s="1"/>
  <c r="D278" i="3"/>
  <c r="D226" i="3"/>
  <c r="C224" i="3" s="1"/>
  <c r="C226" i="3" s="1"/>
  <c r="B224" i="3" s="1"/>
  <c r="B226" i="3" s="1"/>
  <c r="E36" i="3"/>
  <c r="E282" i="2"/>
  <c r="D280" i="2" s="1"/>
  <c r="D282" i="2" s="1"/>
  <c r="F92" i="11"/>
  <c r="E90" i="11" s="1"/>
  <c r="E92" i="11" s="1"/>
  <c r="D90" i="11" s="1"/>
  <c r="D92" i="11" s="1"/>
  <c r="A170" i="9"/>
  <c r="G138" i="9"/>
  <c r="D138" i="9" s="1"/>
  <c r="D35" i="9"/>
  <c r="F33" i="9"/>
  <c r="H33" i="9" s="1"/>
  <c r="D212" i="7"/>
  <c r="C210" i="7" s="1"/>
  <c r="C212" i="7" s="1"/>
  <c r="D223" i="7"/>
  <c r="C221" i="7" s="1"/>
  <c r="C223" i="7" s="1"/>
  <c r="C170" i="7"/>
  <c r="B168" i="7" s="1"/>
  <c r="B170" i="7" s="1"/>
  <c r="B188" i="7"/>
  <c r="G340" i="7"/>
  <c r="E183" i="4"/>
  <c r="E100" i="3"/>
  <c r="D98" i="3" s="1"/>
  <c r="D100" i="3" s="1"/>
  <c r="C98" i="3" s="1"/>
  <c r="C100" i="3" s="1"/>
  <c r="D63" i="3"/>
  <c r="C61" i="3" s="1"/>
  <c r="C63" i="3" s="1"/>
  <c r="B410" i="2"/>
  <c r="D468" i="2"/>
  <c r="C466" i="2" s="1"/>
  <c r="C468" i="2" s="1"/>
  <c r="D445" i="2"/>
  <c r="C443" i="2" s="1"/>
  <c r="C445" i="2" s="1"/>
  <c r="B426" i="2"/>
  <c r="G253" i="3" l="1"/>
  <c r="G255" i="3" s="1"/>
  <c r="E247" i="3"/>
  <c r="E249" i="3" s="1"/>
  <c r="D281" i="3"/>
  <c r="C279" i="3" s="1"/>
  <c r="C281" i="3" s="1"/>
  <c r="B279" i="3" s="1"/>
  <c r="B281" i="3" s="1"/>
  <c r="C90" i="11"/>
  <c r="C92" i="11" s="1"/>
  <c r="D144" i="9"/>
  <c r="G34" i="9"/>
  <c r="F34" i="9" s="1"/>
  <c r="H34" i="9" s="1"/>
  <c r="D36" i="9"/>
  <c r="C36" i="9"/>
  <c r="C252" i="2"/>
  <c r="D252" i="2"/>
  <c r="E252" i="2"/>
  <c r="E256" i="2" s="1"/>
  <c r="D254" i="2" s="1"/>
  <c r="C233" i="2"/>
  <c r="D233" i="2"/>
  <c r="E237" i="2"/>
  <c r="D235" i="2" s="1"/>
  <c r="D237" i="2" s="1"/>
  <c r="C235" i="2" s="1"/>
  <c r="F194" i="2"/>
  <c r="E192" i="2" s="1"/>
  <c r="E194" i="2" s="1"/>
  <c r="D192" i="2" s="1"/>
  <c r="D194" i="2" s="1"/>
  <c r="D158" i="2"/>
  <c r="D138" i="2"/>
  <c r="D142" i="2" s="1"/>
  <c r="D126" i="2"/>
  <c r="D106" i="2"/>
  <c r="D110" i="2" s="1"/>
  <c r="D87" i="2"/>
  <c r="D71" i="2"/>
  <c r="D55" i="2"/>
  <c r="B221" i="1"/>
  <c r="E209" i="1"/>
  <c r="E208" i="1" s="1"/>
  <c r="A193" i="1"/>
  <c r="C193" i="1"/>
  <c r="E178" i="1"/>
  <c r="D167" i="1"/>
  <c r="D155" i="1"/>
  <c r="E144" i="1"/>
  <c r="D138" i="1"/>
  <c r="F120" i="1"/>
  <c r="F123" i="1" s="1"/>
  <c r="F100" i="1"/>
  <c r="F103" i="1" s="1"/>
  <c r="F89" i="1"/>
  <c r="F92" i="1" s="1"/>
  <c r="B71" i="1"/>
  <c r="G35" i="9" l="1"/>
  <c r="F35" i="9" s="1"/>
  <c r="H35" i="9" s="1"/>
  <c r="G36" i="9" s="1"/>
  <c r="F36" i="9" s="1"/>
  <c r="H36" i="9" s="1"/>
  <c r="D37" i="9"/>
  <c r="C37" i="9"/>
  <c r="D256" i="2"/>
  <c r="C254" i="2" s="1"/>
  <c r="C256" i="2" s="1"/>
  <c r="C237" i="2"/>
  <c r="G37" i="9" l="1"/>
  <c r="F37" i="9" s="1"/>
  <c r="H37" i="9" s="1"/>
</calcChain>
</file>

<file path=xl/sharedStrings.xml><?xml version="1.0" encoding="utf-8"?>
<sst xmlns="http://schemas.openxmlformats.org/spreadsheetml/2006/main" count="3133" uniqueCount="1897">
  <si>
    <t>מרצה: ד״ר שי צבאן</t>
  </si>
  <si>
    <t>מייל: shay.tsaban@gmail.com</t>
  </si>
  <si>
    <t>טלפון: 050-6551519 (אני לא זמין אבל שיהיה)</t>
  </si>
  <si>
    <t>אופן הלמידה:</t>
  </si>
  <si>
    <t>כל ההרצאות, ההגדרות, העקרונות, התרגילים, הפתרונות - הכל מופיע ומעודכן בקובץ הזה (אם אתם ניגשים לקובץ</t>
  </si>
  <si>
    <t xml:space="preserve">באתר אחרי כל מפגש - תראו אותו בגרסה מלאה ועדכנית). </t>
  </si>
  <si>
    <t xml:space="preserve">התוכן של כל הרצאה - ייכלל בלשונית (גיליון) נפרד בקובץ, שהגישה אליו מתחתית הקובץ. </t>
  </si>
  <si>
    <t xml:space="preserve">הקלטות השיעורים יעלו בע״ה בסוף כל יום הרצאה. </t>
  </si>
  <si>
    <t>חובות הקורס:</t>
  </si>
  <si>
    <t xml:space="preserve">משקל הבחינה בציון הסופי 100%. </t>
  </si>
  <si>
    <t>יחד עם זאת - יש גם תרגילי הגשה, שאין להם משקל בציון הסופי, אבל כן חובה להגיש 80% מהם כדי לצבור זכאות</t>
  </si>
  <si>
    <t xml:space="preserve">לגשת לבחינה. ברגע שהגשתם - התרגיל נחשב, גם אם יש בו המון טעויות. </t>
  </si>
  <si>
    <t>כלי הלמידה בקורס:</t>
  </si>
  <si>
    <t xml:space="preserve">למחשב כזה (יש גם כאלו חדשים, שהצבע שלהם שחור). </t>
  </si>
  <si>
    <r>
      <t xml:space="preserve">רוב התרגילים בקורס ייפתרו על בסיס מחשבון פיננסי, מדגם </t>
    </r>
    <r>
      <rPr>
        <b/>
        <sz val="12"/>
        <color theme="1"/>
        <rFont val="David"/>
        <family val="2"/>
        <charset val="177"/>
      </rPr>
      <t>FC</t>
    </r>
    <r>
      <rPr>
        <sz val="12"/>
        <color theme="1"/>
        <rFont val="David"/>
        <family val="2"/>
        <charset val="177"/>
      </rPr>
      <t xml:space="preserve">100V או </t>
    </r>
    <r>
      <rPr>
        <b/>
        <sz val="12"/>
        <color theme="1"/>
        <rFont val="David"/>
        <family val="2"/>
        <charset val="177"/>
      </rPr>
      <t>FC</t>
    </r>
    <r>
      <rPr>
        <sz val="12"/>
        <color theme="1"/>
        <rFont val="David"/>
        <family val="2"/>
        <charset val="177"/>
      </rPr>
      <t>200V של קסיו. להלן צילום מסך לדוגמא</t>
    </r>
  </si>
  <si>
    <t xml:space="preserve">לא משנה איזה מבין הדגמים תרכשו. </t>
  </si>
  <si>
    <t xml:space="preserve">מומלץ: לבדוק אם יש חברים / ידידות / ידידים שלמדו בעבר ומחזיקים מחשב כזה. </t>
  </si>
  <si>
    <t>הואיל וכל התוכן שתצטרכו אי פעם קיים בקובץ הזה - אין חובה לרשום במהלך השיעורים,</t>
  </si>
  <si>
    <t xml:space="preserve">אבל מי שמעוניינ/ת - מומלצת מחברת משבצות. </t>
  </si>
  <si>
    <t>פרק 1 - ערך הזמן של הכסף וערך עתידי</t>
  </si>
  <si>
    <t xml:space="preserve">מימון עוסק בחישובים פיננסיים, והוא מעניק משקל גדול מאד למושג ריבית. </t>
  </si>
  <si>
    <r>
      <t xml:space="preserve">המקרה הכי פשוט שמדבר על חישובים פיננסיים וכסף - הוא המקרה של חישוב </t>
    </r>
    <r>
      <rPr>
        <b/>
        <sz val="12"/>
        <color theme="1"/>
        <rFont val="David"/>
        <family val="2"/>
        <charset val="177"/>
      </rPr>
      <t>ערך עתידי</t>
    </r>
    <r>
      <rPr>
        <sz val="12"/>
        <color theme="1"/>
        <rFont val="David"/>
        <family val="2"/>
        <charset val="177"/>
      </rPr>
      <t xml:space="preserve">. </t>
    </r>
  </si>
  <si>
    <t>ערך עתידי: סוג של חישוב שמתבסס על סכומים כספיים (של הלוואה וגם של השקעה) ועל ריבית, ובאמצעותם ניתן</t>
  </si>
  <si>
    <t>דוגמא 1 - חישוב ערך עתידי FV של סכום יחיד בריבית קבועה</t>
  </si>
  <si>
    <t xml:space="preserve">אביב מפקיד היום סכום של 40,000 ש״ח לתכנית חסכון ל-7 שנים. </t>
  </si>
  <si>
    <t>תכנית החסכון צוברת ריבית שנתית בשיעור 5%.</t>
  </si>
  <si>
    <t>מהו הסכום הכולל שיעמוד לרשותו של אביב בתום השנה ה-7?</t>
  </si>
  <si>
    <t>פתרון:</t>
  </si>
  <si>
    <t xml:space="preserve">סוג החישוב - ערך עתידי FV. מדוע? כי הנדרש הוא לחשב את הסכום הכולל שיצטבר בעתיד. </t>
  </si>
  <si>
    <t>הפקדתי פעם אחת</t>
  </si>
  <si>
    <t>לוויתי פעם אחת</t>
  </si>
  <si>
    <t>וזהו...</t>
  </si>
  <si>
    <t>הפקדות תקופתיות קבועות</t>
  </si>
  <si>
    <t xml:space="preserve">למשל: הפקדה כל חודש </t>
  </si>
  <si>
    <t>זה המקרה בדוגמא 1</t>
  </si>
  <si>
    <r>
      <t xml:space="preserve">של </t>
    </r>
    <r>
      <rPr>
        <b/>
        <sz val="12"/>
        <color theme="1"/>
        <rFont val="David"/>
        <family val="2"/>
        <charset val="177"/>
      </rPr>
      <t>סכום יחיד</t>
    </r>
  </si>
  <si>
    <r>
      <t xml:space="preserve">של </t>
    </r>
    <r>
      <rPr>
        <b/>
        <sz val="12"/>
        <color theme="1"/>
        <rFont val="David"/>
        <family val="2"/>
        <charset val="177"/>
      </rPr>
      <t>סדרה</t>
    </r>
  </si>
  <si>
    <t>זה לא שייך לכאן, נלמד בהמשך...</t>
  </si>
  <si>
    <t>הפקדה היום</t>
  </si>
  <si>
    <t>PV</t>
  </si>
  <si>
    <t>כשמדובר בהפקדה, נרשום בסימן שלילי (-)</t>
  </si>
  <si>
    <t>ריבית</t>
  </si>
  <si>
    <t>I%</t>
  </si>
  <si>
    <r>
      <t xml:space="preserve">הריבית התקופתית הנתונה - </t>
    </r>
    <r>
      <rPr>
        <b/>
        <sz val="12"/>
        <color theme="1"/>
        <rFont val="David"/>
        <family val="2"/>
        <charset val="177"/>
      </rPr>
      <t>ריבית שנתית</t>
    </r>
    <r>
      <rPr>
        <sz val="12"/>
        <color theme="1"/>
        <rFont val="David"/>
        <family val="2"/>
        <charset val="177"/>
      </rPr>
      <t xml:space="preserve"> - רושמים את הריבית ללא סימן אחוז וללא המרה לשבר עשרוני</t>
    </r>
  </si>
  <si>
    <t>מס׳ תקופות</t>
  </si>
  <si>
    <t>n</t>
  </si>
  <si>
    <t>מספר תקופות הריבית - נתון שהריבית שנתית, לכן ה-n הוא מספר השנים: 7</t>
  </si>
  <si>
    <t>PMT</t>
  </si>
  <si>
    <t>תשלום תקופתי קבוע - ערך שמתקיים רק בסדרות - כאן - אין</t>
  </si>
  <si>
    <t>סכום תקופתי</t>
  </si>
  <si>
    <t>FV</t>
  </si>
  <si>
    <t>SOLVE</t>
  </si>
  <si>
    <t>התוצאה</t>
  </si>
  <si>
    <t>מסקנה: הסכום הכולל שהצטבר לאביב בתום השנה ה-7 הוא כ-56,284 ש״ח.</t>
  </si>
  <si>
    <t>דוגמא 1.1 - חישוב ערך עתידי FV של סכום יחיד בריבית קבועה - לתרגול כיתה</t>
  </si>
  <si>
    <t xml:space="preserve">שירן מעוניין להפקיד היום סכום של 100,000 ש״ח לתקופה של 3 שנים. </t>
  </si>
  <si>
    <r>
      <t xml:space="preserve">תוכנית החסכון אליה מפקיד שירן נושאת ריבית </t>
    </r>
    <r>
      <rPr>
        <b/>
        <sz val="12"/>
        <color theme="1"/>
        <rFont val="David"/>
        <family val="2"/>
        <charset val="177"/>
      </rPr>
      <t>חודשית</t>
    </r>
    <r>
      <rPr>
        <sz val="12"/>
        <color theme="1"/>
        <rFont val="David"/>
        <family val="2"/>
        <charset val="177"/>
      </rPr>
      <t xml:space="preserve"> בשיעור 0.1% לחודש. </t>
    </r>
  </si>
  <si>
    <t>מהו הסכום הכולל שיעמוד לרשותו של שירן בתום השנה ה-3?</t>
  </si>
  <si>
    <t>כשמדובר בהפקדה (בודדת, היום, מיד) נרשום בסימן שלילי</t>
  </si>
  <si>
    <r>
      <t xml:space="preserve">עד הודעה חדשה, מזינים את הריבית הנתונה - </t>
    </r>
    <r>
      <rPr>
        <b/>
        <sz val="12"/>
        <color theme="1"/>
        <rFont val="David"/>
        <family val="2"/>
        <charset val="177"/>
      </rPr>
      <t>ריבית חודשית</t>
    </r>
  </si>
  <si>
    <t xml:space="preserve">כמה תקופות ריבית (כמה חודשים) כלולים בתקופת העסקה - 3 שנים שהם 36 חודשים. </t>
  </si>
  <si>
    <t>אין כאן הפקדה חוזרת קבועה (אין כאן סדרה) אלא הפקדה בודדת התחלתית וזהו (PV)</t>
  </si>
  <si>
    <t>דוגמא 2 - חישוב ערך עתידי FV של סדרה קבועה - בסוף כל תקופה</t>
  </si>
  <si>
    <t xml:space="preserve">עמרי רוצה להפקיד אבל הוא שילם על שכר לימוד את כל מה שהיה לו בחשבון. </t>
  </si>
  <si>
    <t xml:space="preserve">ניגשתי לעמרי ואמרתי לו: ״אל תתבאס! אתה יכול להפקיד גם סכומים קטנים, כל עוד תתמיד״. </t>
  </si>
  <si>
    <t>עמרי שמע בקולי והחליט להפקיד בסוף כל חודש במשך 5 שנים סכום קבוע של 100 ש״ח.</t>
  </si>
  <si>
    <t>בהנחה שהריבית החודשית היא 0.5%, מהו הסכום הכולל שיעמוד לרשותו של עמרי בתום 5 השנים?</t>
  </si>
  <si>
    <t>השאלה עוסקת בערך עתידי (FV) - הסכום שיצטבר בעתיד</t>
  </si>
  <si>
    <t>האם זו הפקדה בודדת?</t>
  </si>
  <si>
    <t>לא</t>
  </si>
  <si>
    <t>האם זו סדרה?</t>
  </si>
  <si>
    <t>אין כאן הפקדה / תקבול חד פעמי</t>
  </si>
  <si>
    <t>הפקדה חודשית קבועה - בסימן שלילי</t>
  </si>
  <si>
    <t>ריבית לתקופת תשלום - כאן: הפקדות חודשיות, ריבית חודשית</t>
  </si>
  <si>
    <t>מספר התשלומים / ההפקדות - כל חודש, 5 שנים</t>
  </si>
  <si>
    <t>דוגמא 2.1 - חישוב ערך עתידי FV של סדרה קבועה - בסוף כל תקופה</t>
  </si>
  <si>
    <t>נויה מתכננת להפקיד בסוף כל רבעון במשך 10 שנים סכום של 400 ש״ח. הריבית לרבעון היא 1.5%.</t>
  </si>
  <si>
    <t>מהו הסכום הכולל שיעמוד לרשותה בתום השנה ה-10?</t>
  </si>
  <si>
    <t>ריבית לתקופת תשלום: תשלומים כל רבעון, ריבית רבעונית</t>
  </si>
  <si>
    <t>מספר התשלומים / ההפקדות: 4 בשנה, 10 שנים = 40</t>
  </si>
  <si>
    <t>הפקדה רבעונית קבועה בסימן שלילי</t>
  </si>
  <si>
    <t>דוגמא 3 - חישוב ערך עתידי FV של סדרה וסכום יחיד יחד</t>
  </si>
  <si>
    <t>של 500 ש״ח.</t>
  </si>
  <si>
    <t>בשאלה זו אפשר לזהות גם הפקדה בודדת / חד פעמית / היום (PV),</t>
  </si>
  <si>
    <t>וגם</t>
  </si>
  <si>
    <t>הפקדה כל חודש (PMT).</t>
  </si>
  <si>
    <t>כשיש גם סדרה וגם סכום יחיד - התהליך החישובי יוגדר בהתאם לסדרה.</t>
  </si>
  <si>
    <r>
      <t xml:space="preserve">עדן קאדרי מפקידה היום 25,000 ש״ח לחסכון. כמו כן, היא </t>
    </r>
    <r>
      <rPr>
        <b/>
        <sz val="12"/>
        <color theme="1"/>
        <rFont val="David"/>
        <family val="2"/>
        <charset val="177"/>
      </rPr>
      <t>תפקיד אליו בתום כל חודש</t>
    </r>
    <r>
      <rPr>
        <sz val="12"/>
        <color theme="1"/>
        <rFont val="David"/>
        <family val="2"/>
        <charset val="177"/>
      </rPr>
      <t xml:space="preserve"> במשך 4 שנים סכום חודשי</t>
    </r>
  </si>
  <si>
    <r>
      <t xml:space="preserve">בהנחה </t>
    </r>
    <r>
      <rPr>
        <b/>
        <sz val="12"/>
        <color theme="1"/>
        <rFont val="David"/>
        <family val="2"/>
        <charset val="177"/>
      </rPr>
      <t>שהריבית החודשית</t>
    </r>
    <r>
      <rPr>
        <sz val="12"/>
        <color theme="1"/>
        <rFont val="David"/>
        <family val="2"/>
        <charset val="177"/>
      </rPr>
      <t xml:space="preserve"> היא 0.4%, מהו הסכום הכולל שיעמוד לרשותה בתום 4 השנים?</t>
    </r>
  </si>
  <si>
    <t>דוגמא 4 - חילוץ מספר השנים בדרך ליעד עתידי FV נתון</t>
  </si>
  <si>
    <t>עידו בן 20 היום. בכוונתו לחסוך בתום כל חודש סכום של 1,000 ש״ח, לתוכנית חסכון הנושאת ריבית חודשית</t>
  </si>
  <si>
    <t>בשיעור של 0.3%.</t>
  </si>
  <si>
    <t xml:space="preserve">עידו מעוניין לצבור סכום שיספיק לו להון עצמי לדירה: 400,000 ש״ח. </t>
  </si>
  <si>
    <t>בן כמה יהיה עידו שלנו כאשר יגיע לסך הצבירה הנדרשת?</t>
  </si>
  <si>
    <t>בשונה מהשאלות הקודמות, שבהן המטרה היתה לחשב מהו הסכום הכולל שמצטבר, והערכים האחרים היו נתונים,</t>
  </si>
  <si>
    <t xml:space="preserve">כאן - הסכום המצטבר (העתידי - FV) נתון, ואנחנו צריכים לגלות כמה הפקדות חודשיות עידו יצטרך לבצע. </t>
  </si>
  <si>
    <t>הערך שיש לחשב - כמה חודשי הפקדה</t>
  </si>
  <si>
    <t>הריבית לתקופת תשלום / לחודש</t>
  </si>
  <si>
    <t>אין כאן הפקדה חד פעמית התחלתית</t>
  </si>
  <si>
    <t>סכום ההפקדה החודשית</t>
  </si>
  <si>
    <t>הסכום המצטבר הנדרש:</t>
  </si>
  <si>
    <t xml:space="preserve">המסקנה: עידו יצטרך להפקיד במשך כ-263 חודשים, כדי להגיע ליעד. </t>
  </si>
  <si>
    <t>אם נתרגם סכום זה לשנים ע״י חלוקה ב-12:</t>
  </si>
  <si>
    <t xml:space="preserve">263/12 = </t>
  </si>
  <si>
    <t xml:space="preserve">המשמעות: עידו יצטרך להתמיד בהפקדות כ-22 שנים על מנת לצבור את הסכום הנדרש. </t>
  </si>
  <si>
    <t xml:space="preserve">אם הוא בן 20 היום, בגיל 42, יוכל לרכוש דירה. </t>
  </si>
  <si>
    <t>דוגמא 4.1 - חילוץ מספר השנים בדרך ליעד עתידי FV נתון</t>
  </si>
  <si>
    <t xml:space="preserve">אדי מעוניין לחסוך לבוגאטי כתומה סכום של 4,900,000 ש״ח. </t>
  </si>
  <si>
    <t>לשם כך בכוונתו להפקיד היום סכום של 900,000 ש״ח ובנוסף בתום כל חודש סכום חודשי של 10,000 ש״ח.</t>
  </si>
  <si>
    <t>בהנחה שהריבית החודשית היא 0.4%, כמה חודשים יחלפו (במעוגל) עד שאדי יצבור את הסכום הנדרש?</t>
  </si>
  <si>
    <t>ההפקדות כל חודש, נדרשת ריבית חודשית</t>
  </si>
  <si>
    <t>הפקדה חד פעמית מיידית</t>
  </si>
  <si>
    <t>הפקדה חודשית קבועה</t>
  </si>
  <si>
    <t>הסכום העתידי הנצבר - נתון</t>
  </si>
  <si>
    <t>מספר ההפקדות</t>
  </si>
  <si>
    <t xml:space="preserve">בסך הכל, יחלפו כ-195 חודשים עד שאדי יצבור 4,900,000 ש״ח ובכך יגשים את חלומו. </t>
  </si>
  <si>
    <t xml:space="preserve">דוקטור צבאן הפקיד היום 280,000 ש״ח. בנוסף בכוונתו להפקיד בתום כל חודש 10,000 ש״ח במשך שנה. </t>
  </si>
  <si>
    <t>בהנחה שעל פי חישוביו הסכום שיצטבר בתום השנה הוא 490,000 ש״ח, מהי הריבית החודשית באפיק ההשקעה של</t>
  </si>
  <si>
    <t>הדוקטור?</t>
  </si>
  <si>
    <t>מספר ההפקדות בשנה - 12</t>
  </si>
  <si>
    <t>הפקדה חודשית קבועה (סדרתית)</t>
  </si>
  <si>
    <t>ערך עתידי נתון</t>
  </si>
  <si>
    <t>הריבית המחולצת - חודשית</t>
  </si>
  <si>
    <t>דוגמא 5 - חילוץ שיעור ריבית שמגולם בעסקה הכוללת סדרת תשלומים וסכום יחיד</t>
  </si>
  <si>
    <r>
      <t xml:space="preserve">דוגמא 6 - חילוץ שיעור ריבית שמגולם בעסקת תשלומים - </t>
    </r>
    <r>
      <rPr>
        <b/>
        <u/>
        <sz val="12"/>
        <color theme="1"/>
        <rFont val="David"/>
        <family val="2"/>
        <charset val="177"/>
      </rPr>
      <t>והמרת הריבית לתקופה אחרת</t>
    </r>
  </si>
  <si>
    <t xml:space="preserve">איזאר מפקיד היום סכום של 80,000 ש״ח ובנוסף כל חודש 12,000 ש״ח במשך שנה. </t>
  </si>
  <si>
    <t>הסכום הכולל שיעמוד לרשותו של איזאר בתום השנה הוא 380,000 ש״ח.</t>
  </si>
  <si>
    <r>
      <t xml:space="preserve">מהי הריבית </t>
    </r>
    <r>
      <rPr>
        <b/>
        <u/>
        <sz val="12"/>
        <color rgb="FFFF0000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בעסקה?</t>
    </r>
  </si>
  <si>
    <t>מספר ההפקדות החודשיות בשנה</t>
  </si>
  <si>
    <t>הפקדה בודדת, מיידית</t>
  </si>
  <si>
    <t>הפקדה תקופתית - כל חודש</t>
  </si>
  <si>
    <t>הסכום העתידי - נתון</t>
  </si>
  <si>
    <t>יש כאן סדרה - לכן הריבית לתקופת תשלום (חודשית)</t>
  </si>
  <si>
    <t>נשאלת השאלה - אם הצלחנו לחלץ ריבית חודשית, אך נדרשת ריבית שנתית, כיצד תבוצע ההמרה מחודש לשנה?</t>
  </si>
  <si>
    <t>ברירת המחדל להמרות ריבית היא בשיטת ״ריבית דריבית״. שיטה זו אומרת, שבכל חודש הריבית נצברת על כל מה שהיה</t>
  </si>
  <si>
    <t>קודם, ולא רק על הקרן הראשונית. טכנית - המרת הריבית מבוצעת כך:</t>
  </si>
  <si>
    <t>ריבית שנתית</t>
  </si>
  <si>
    <t>ריבית חודשית</t>
  </si>
  <si>
    <t>=</t>
  </si>
  <si>
    <t>הריבית השנתית בתכנית של איזאר היא 113.85%. איזאר אוהב את השוק האפור.</t>
  </si>
  <si>
    <r>
      <t xml:space="preserve">דוגמא 6.1 - חילוץ שיעור ריבית שמגולם בעסקת תשלומים - </t>
    </r>
    <r>
      <rPr>
        <b/>
        <u/>
        <sz val="12"/>
        <color theme="1"/>
        <rFont val="David"/>
        <family val="2"/>
        <charset val="177"/>
      </rPr>
      <t>והמרת הריבית לתקופה אחרת</t>
    </r>
  </si>
  <si>
    <t xml:space="preserve">איתי מדר מעוניין לחסוך למכונה לחימום נקניק. </t>
  </si>
  <si>
    <t xml:space="preserve">ידוע לאיתי שאם יפקיד היום סכום חד פעמי של 20,000 ש״ח ובתום כל רבעון במשך 8 שנים סכום של 1,000 ש״ח, </t>
  </si>
  <si>
    <t xml:space="preserve">יעמדו לרשותו בתום השנה ה-8 בסך הכל 90,000 ש״ח. </t>
  </si>
  <si>
    <t>מהי הריבית השנתית בתוכנית אליה מפקיד איתי שלנו?</t>
  </si>
  <si>
    <t>תזכורת:</t>
  </si>
  <si>
    <t>שלב 1 - נציב את כל הערכים בטבלה, ונחלץ את %I.</t>
  </si>
  <si>
    <t xml:space="preserve">שלב 2 - נמיר את הריבית שמצאנו לשנה, עם חזקה מתאימה. </t>
  </si>
  <si>
    <t>מספר ההפקדות הרבעוניות ב-8 שנים</t>
  </si>
  <si>
    <t>הפקדה תקופתית - כל רבעון</t>
  </si>
  <si>
    <t>יש כאן סדרה - לכן הריבית לתקופת תשלום (לרבעון)</t>
  </si>
  <si>
    <t>המרת ריבית מתקופה של רבעון לתקופה של שנה:</t>
  </si>
  <si>
    <t>בהצבה:</t>
  </si>
  <si>
    <t xml:space="preserve">0.09943 = </t>
  </si>
  <si>
    <t xml:space="preserve">מסקנה: הריבית האפקטיבית השנתית בעסקה היא 9.943%. </t>
  </si>
  <si>
    <t>סיכום ביניים לתכני המפגש:</t>
  </si>
  <si>
    <t xml:space="preserve">התחלנו בדיון לגבי העובדה שמימון עוסק בחישובים כספיים המתייחסים לריבית. </t>
  </si>
  <si>
    <t>סוג החישוב הכי בסיסי ופשוט, הוא חישוב ערך עתידי - שדן בשאלה - איך מחשבים את הסכום העתידי המצטבר,</t>
  </si>
  <si>
    <t>כולל ריבית, בגין הפקדות / הלוואות, בסכום יחיד ובסדרות.</t>
  </si>
  <si>
    <t xml:space="preserve">למדנו על ההגדרות של הפרמטרים בחישוב, ניסינו להדגיש את הבדלי ההגדרות בין סכום יחיד לסדרה, </t>
  </si>
  <si>
    <t xml:space="preserve">והתחלנו לבצע התאמות של ריבית - שישרתו אותנו בהמשך הדרך. </t>
  </si>
  <si>
    <t xml:space="preserve">במפגש הבא: מחכים לנו יישומים נוספים - גם חישובים מורכבים יותר לגבי שינויים בעסקה ולאחר מכן נתחיל את </t>
  </si>
  <si>
    <t xml:space="preserve">הדיון בחישוב הכלכלי המורכב יותר - ערך נוכחי. </t>
  </si>
  <si>
    <t xml:space="preserve">עד מחר יעלו לכם לאתר (אוציא גם הודעה) תרגילים נוספים לא להגשה עם פתרון סופי. </t>
  </si>
  <si>
    <t>רענון:</t>
  </si>
  <si>
    <t xml:space="preserve">במפגש הקודם, לצד ההיכרות המלבבת, הצגנו את העובדה שחישובים רבים במימון למעשה עוסקים בחישובי ריבית - </t>
  </si>
  <si>
    <t xml:space="preserve">צבירת ריבית. מהו הסכום הכולל שנצבר בגין השקעות ובגין הלוואות. </t>
  </si>
  <si>
    <t>קראנו לחישובים אלו ״ערך עתידי״ או FV והראינו שניתן לחשבם בקלות רבה וללא עבודה מתמטית מתוחכמת</t>
  </si>
  <si>
    <t>באמצעות המחשבון הפיננסי.</t>
  </si>
  <si>
    <t xml:space="preserve">הבחנו בין ערך עתידי של סכום יחיד (מפקידים היום בומבה, מקבלים בעתיד בומבה, ללא סדרות תשלומים), </t>
  </si>
  <si>
    <t>לבין ערך עתידי של סדרה.</t>
  </si>
  <si>
    <t xml:space="preserve">היום - נתרגל נושאים אלו באינטנסיביות, ונעבור קצת, בקטנה, לחישוב ההפוך - ערך נוכחי PV ומשמעותו. </t>
  </si>
  <si>
    <t>מדריך טכני מתומצת - חישובי ערך עתידי FV במחשבון פיננסי (מדגם FC100V או FC200V של קאסיו):</t>
  </si>
  <si>
    <t>SHIFT</t>
  </si>
  <si>
    <t>פעמיים EXE</t>
  </si>
  <si>
    <t>AC</t>
  </si>
  <si>
    <r>
      <t xml:space="preserve">ראשית: מקובל מאד </t>
    </r>
    <r>
      <rPr>
        <b/>
        <sz val="12"/>
        <color rgb="FFFF0000"/>
        <rFont val="David"/>
        <family val="2"/>
        <charset val="177"/>
      </rPr>
      <t>לאפס</t>
    </r>
    <r>
      <rPr>
        <sz val="12"/>
        <color theme="1"/>
        <rFont val="David"/>
        <family val="2"/>
        <charset val="177"/>
      </rPr>
      <t xml:space="preserve"> את המחשבון הפיננסי טרם התחלת עבודה.</t>
    </r>
  </si>
  <si>
    <t>CMPD</t>
  </si>
  <si>
    <t>Set</t>
  </si>
  <si>
    <t>End</t>
  </si>
  <si>
    <t>בסכום יחיד - לא נוגעים</t>
  </si>
  <si>
    <t>מספר תקופות הריבית</t>
  </si>
  <si>
    <t>מזינים</t>
  </si>
  <si>
    <t>ריבית תקופתית</t>
  </si>
  <si>
    <t>ריבית תקופתית ללא סימן אחוז ואז EXE</t>
  </si>
  <si>
    <t>Present Value</t>
  </si>
  <si>
    <t>סכום ההפקדה היום (-) / סכום ההלוואה (+) ואז EXE</t>
  </si>
  <si>
    <t>Future Value</t>
  </si>
  <si>
    <t>ערך עתידי מצטבר שנרצה לחשב FV</t>
  </si>
  <si>
    <r>
      <t xml:space="preserve">שנית - כיצד מחשבים </t>
    </r>
    <r>
      <rPr>
        <b/>
        <sz val="12"/>
        <color theme="1"/>
        <rFont val="David"/>
        <family val="2"/>
        <charset val="177"/>
      </rPr>
      <t>ערך עתידי FV של סכום יחיד (בריבית קבועה)</t>
    </r>
    <r>
      <rPr>
        <sz val="12"/>
        <color theme="1"/>
        <rFont val="David"/>
        <family val="2"/>
        <charset val="177"/>
      </rPr>
      <t>?</t>
    </r>
  </si>
  <si>
    <t>שלישית - כיצד מחשבים ערך עתידי FV של סדרה קבועה (סר״ת = סכום, ריבית, תדירות &gt;&gt;&gt; קבוע)</t>
  </si>
  <si>
    <t xml:space="preserve">בסדרות - אפשר לבחור בין Begin ו-End </t>
  </si>
  <si>
    <t>בהמשך נסביר מתי Begin (ניתן לשנות ע״י עמידה על השורה ו-EXE)</t>
  </si>
  <si>
    <r>
      <t xml:space="preserve">מספר </t>
    </r>
    <r>
      <rPr>
        <u/>
        <sz val="12"/>
        <color theme="1"/>
        <rFont val="David"/>
        <family val="2"/>
        <charset val="177"/>
      </rPr>
      <t>התשלומים בסדרה</t>
    </r>
  </si>
  <si>
    <r>
      <t xml:space="preserve">מספר </t>
    </r>
    <r>
      <rPr>
        <u/>
        <sz val="12"/>
        <color theme="1"/>
        <rFont val="David"/>
        <family val="2"/>
        <charset val="177"/>
      </rPr>
      <t>תקופות הריבית</t>
    </r>
    <r>
      <rPr>
        <sz val="12"/>
        <color theme="1"/>
        <rFont val="David"/>
        <family val="2"/>
        <charset val="177"/>
      </rPr>
      <t xml:space="preserve"> ולחיצה על EXE</t>
    </r>
  </si>
  <si>
    <t>ריבית לפרק הזמן בין תשלומים</t>
  </si>
  <si>
    <t>אם בנוסף לסדרה יש גם הפקדה / הלוואה היום - נזין</t>
  </si>
  <si>
    <t>אם אין הפקדה / הלוואה בהווה מיד, נזין 0 בערך</t>
  </si>
  <si>
    <t>ההפקדה התקופתית (-) או התקבול התקופתי +</t>
  </si>
  <si>
    <t xml:space="preserve">תרגול המדריך הטכני </t>
  </si>
  <si>
    <t>שאלה 1</t>
  </si>
  <si>
    <t xml:space="preserve">שירן מפקיד היום 40,000 ש״ח לתוכנית חסכון ל-7 שנים הנושאת ריבית שנתית קבועה בשיעור 4%. </t>
  </si>
  <si>
    <t>שאלה 1 - ערך עתידי FV של סכום יחיד בריבית קבועה</t>
  </si>
  <si>
    <t>לא נוגע - כי זו לא סדרה</t>
  </si>
  <si>
    <t>הריבית שנתית, לכן את מספר השנים</t>
  </si>
  <si>
    <t>הריבית התקופתית הנתונה היא שנתית, ושיעורה 4%</t>
  </si>
  <si>
    <t>הפקדה חד פעמית מיידית (-)</t>
  </si>
  <si>
    <t>אין כאן סדרת תשלומים, לכן 0</t>
  </si>
  <si>
    <t>שאלה 2 - ערך עתידי FV של סכום יחיד בריבית קבועה</t>
  </si>
  <si>
    <t>דוקטור צבאן מפקיד היום 2,400,000 ש״ח ל-8 שנים בריבית שנתית של 9%. ידוע שבוגאטי תעלה בעוד 8 שנים 4,500,000 ש״ח.</t>
  </si>
  <si>
    <t>האם הדוקטור יצבור מספיק כדי להגשים את חלום הבוגאטי?</t>
  </si>
  <si>
    <t xml:space="preserve">כדי לדעת אם הדוקטור יצבור מספיק, למעשה נחשב את הערך העתידי FV. אם הסכום יהיה גבוה מעלות הבוגאטי - </t>
  </si>
  <si>
    <t xml:space="preserve">סימן שהצליח לחסוך מספיק. אחרת - יחסר לו כסף. </t>
  </si>
  <si>
    <t>לא סדרה - לא נוגע</t>
  </si>
  <si>
    <t>הריבית שנתית - לכן נזין את מס׳ השנים</t>
  </si>
  <si>
    <t>הריבית התקופתית הנתונה - ריבית שנתית</t>
  </si>
  <si>
    <t>הפקדה חד פעמית היום בסימן שלילי</t>
  </si>
  <si>
    <t>אין כאן סדרה לכן ה-PMT=0</t>
  </si>
  <si>
    <t>שאלה 3 - ערך עתידי FV של סכום יחיד בריבית קבועה</t>
  </si>
  <si>
    <t xml:space="preserve">באדר מפקיד היום סכום של 10 ש״ח בחסכון ל-50 שנה, בריבית חצי שנתית של 4%. </t>
  </si>
  <si>
    <t>מהו הסכום שיעמוד לרשותו בתום 50 השנים?</t>
  </si>
  <si>
    <t xml:space="preserve">הטריק בשאלה הזו הוא הדיון בריבית ובתקופות. </t>
  </si>
  <si>
    <t>תקופת ריבית היא חצי שנה - כמה חצאים נכנסים ב-50 שנה?</t>
  </si>
  <si>
    <t>הריבית התקופתית - ריבית לחצי שנה</t>
  </si>
  <si>
    <t>מה למדנו מהשאלה הזו בהשוואה לקודמות?</t>
  </si>
  <si>
    <t>שכאשר מחשבים ערך עתידי של סכום יחיד, ה-n לא מייצג את מספר השנים, אלא את מספר תקופות הריבית.</t>
  </si>
  <si>
    <t>מביטים על הריבית, קובעים לכמה זמן היא, ורק אז מסיקים כמה תקופות של ריבית נכנסות בעסקה.</t>
  </si>
  <si>
    <t xml:space="preserve">כאן: הבטתי על הריבית, היא לחצי שנה, ואז שאלתי את עצמי - כמה תקופות של חצי שנה נכנסות ב-50 שנה, התשובה n=100. </t>
  </si>
  <si>
    <t>שאלה 4 - ערך עתידי FV של סדרה</t>
  </si>
  <si>
    <t>עידו חי בתור סטודנט על לחם ומים בלבד. חלומו הוא לאפשר לעצמו לאכול בשלב מסוים לאפה שווארמה.</t>
  </si>
  <si>
    <t>בהנחה שהריבית החודשית 1%, ושעלות הלאפה בעוד 3 שנים היא 85 ש״ח, ושעלות שתיה 15 ש״ח, האם יוכל</t>
  </si>
  <si>
    <t>להתפנק על לאפה ושתיה בסיום לימודיו?</t>
  </si>
  <si>
    <r>
      <t xml:space="preserve">לשם כך בכוונתו </t>
    </r>
    <r>
      <rPr>
        <b/>
        <sz val="12"/>
        <color theme="1"/>
        <rFont val="David"/>
        <family val="2"/>
        <charset val="177"/>
      </rPr>
      <t>להפקיד בתום כל חודש</t>
    </r>
    <r>
      <rPr>
        <sz val="12"/>
        <color theme="1"/>
        <rFont val="David"/>
        <family val="2"/>
        <charset val="177"/>
      </rPr>
      <t xml:space="preserve"> במשך כל לימודיו (3 שנים) סכום של 2 ש״ח. </t>
    </r>
  </si>
  <si>
    <t xml:space="preserve">מדובר בסדרה קבועה (הפקדות כל חודש). </t>
  </si>
  <si>
    <t>סדרה - עם הפקדות בסוף כל חודש</t>
  </si>
  <si>
    <t>אין פה תשלום חד פעמי מיידי</t>
  </si>
  <si>
    <t>סכום ההפקדה התקופתי</t>
  </si>
  <si>
    <t>שאלה 5 - ערך עתידי FV של שילוב סדרה עם סכום יחיד</t>
  </si>
  <si>
    <t xml:space="preserve">עמרי התייאש מהלימודים והחליט לפתוח דוכן לחימום נקניק. לשם הקמת הדוכן הפקיד היום 10,000 ש״ח וכמו כן, </t>
  </si>
  <si>
    <t xml:space="preserve">בתום כל רבעון במשך שנה יפקיד 7,000 ש״ח. הריבית הרבעונית 3%. בעוד שנה יפתח את הדוכן. מהו הסכום הכולל </t>
  </si>
  <si>
    <t>שיעמוד לרשותו במועד זה (בתום השנה)?</t>
  </si>
  <si>
    <t>ההפקדות בתום כל רבעון, נשאיר:</t>
  </si>
  <si>
    <t>מספר ההפקדות:</t>
  </si>
  <si>
    <t>הריבית לתקופת הפקדה (לרבעון!)</t>
  </si>
  <si>
    <t>הפקדה חד פעמית היום (במינוס):</t>
  </si>
  <si>
    <t>הפקדה תקופתית (במינוס):</t>
  </si>
  <si>
    <t xml:space="preserve">מדובר בסדרה קבועה (הפקדות כל רבעון). </t>
  </si>
  <si>
    <t>הפקדות כל רבעון === 4 הפקדות בשנה וכאן מדובר בשנה אחת</t>
  </si>
  <si>
    <t>ההפקדות כל רבעון, נדרשת ריבית רבעונית, ברוך השם היא נתונה</t>
  </si>
  <si>
    <t>הפקדה בודדת, חד פעמית, מיידית היום</t>
  </si>
  <si>
    <t>ההפקדה הרבעונית הקבועה הנתונה</t>
  </si>
  <si>
    <t>שאלה 6 - ערך עתידי FV של שילוב סדרה עם סכום יחיד</t>
  </si>
  <si>
    <t>אדי חולם לפרוש מחשבונאות ולהקים חווה בצפון. לשם כך, יפקיד היום סכום של 150,000 ש״ח, ובנוסף - כל חודשיים</t>
  </si>
  <si>
    <t xml:space="preserve">יפקיד סכום קבוע של 4,000 ש״ח במשך 5 שנים. </t>
  </si>
  <si>
    <t>מהו הסכום הכולל שיעמוד לרשותו של אדי בתום 5 השנים, אם הריבית לחודשיים היא 1%?</t>
  </si>
  <si>
    <t>הפקדה תקופתית קבועה</t>
  </si>
  <si>
    <t>כל חודשיים</t>
  </si>
  <si>
    <t>הפקדה כל חודשיים &gt;&gt;&gt;  ריבית לחודשיים</t>
  </si>
  <si>
    <t>בכל שנה ״נכנס״ 6 פעמים ערך של חודשיים; וב-5 שנים: 5*6 = 30</t>
  </si>
  <si>
    <t>שאלה 7 - ערך עתידי FV של שילוב סדרה עם סכום יחיד</t>
  </si>
  <si>
    <t xml:space="preserve">יחי מתכנן להפקיד בתום כל 4 חודשים סכום של 5,000 ש״ח במשך 8 שנים. </t>
  </si>
  <si>
    <t xml:space="preserve">כמו כן, יפקיד היום סכום חד פעמי של 20,000 ש״ח. </t>
  </si>
  <si>
    <t>מהו הסכום הכולל שיעמוד לרשותו בתום 8 השנים, אם הריבית ל-4 חודשים היא 2%?</t>
  </si>
  <si>
    <t>ההפקדה הסדרתית (שחוזרת על עצמה)</t>
  </si>
  <si>
    <t>ריבית לתקופת תשלום - ל-4 חודשים</t>
  </si>
  <si>
    <t>ערך של 4 חודשים נכלל 3 פעמים בשנה, בסך הכל 8 שנים: 8*3=24</t>
  </si>
  <si>
    <t>מספר התשלומים</t>
  </si>
  <si>
    <t>מדריך טכני מתומצת - ערך עתידי ״מסובך״, בשלבים</t>
  </si>
  <si>
    <t xml:space="preserve">עד כה הנחנו שהסכומים קבועים, הריבית קבועה ולכן היה אפשר לחשב את ה-FV ב״מכה אחת״. </t>
  </si>
  <si>
    <t xml:space="preserve">בעולם האמיתי - זה ממש לא תמיד ככה. חלים שינויים בסכומים שמפקידים, בריבית וכיו״ב. </t>
  </si>
  <si>
    <t xml:space="preserve">המטרה שלנו היא לשכלל את אופן החישוב כך שידע להתייחס לשינויים בפרמטרים. </t>
  </si>
  <si>
    <t>אופן הטיפול:</t>
  </si>
  <si>
    <t xml:space="preserve">נחלק את תהליך העבודה ל״שלבים״. </t>
  </si>
  <si>
    <t xml:space="preserve">כל שלב יקבל חישוב FV משלו. </t>
  </si>
  <si>
    <t xml:space="preserve">שלב מסתיים במועד שבו חל שינוי באחד או יותר מהפרמטרים (סכום, ריבית, תדירות וכיו״ב). </t>
  </si>
  <si>
    <t xml:space="preserve">בכל שלב, לאחר חישוב FV הוא יהפוך להיות ה-PV של השלב הבא. </t>
  </si>
  <si>
    <t>תרגיל 8 - ערך עתידי של סכום יחיד בריבית משתנה</t>
  </si>
  <si>
    <t xml:space="preserve">עדן מפקידה היום 40,000 ש״ח לתקופה של 12 שנים, כדי לקנות Macbook מפואר בתום השנה ה-12. </t>
  </si>
  <si>
    <t>הריבית השנתית בכל אחת מ-4 השנים הראשונות היא 3% לשנה, בכל אחת מ-6 השנים העוקבות 2% לשנה,</t>
  </si>
  <si>
    <t xml:space="preserve">ובכל אחת מהשנתיים הנותרות 5% לשנה. </t>
  </si>
  <si>
    <t>מהו הסכום הכולל שיעמוד לרשותה של עדן בתום 12 השנים?</t>
  </si>
  <si>
    <t xml:space="preserve">באופן עקרוני - יש כאן סיפור על ערך עתידי של סכום יחיד, אך קיים שינוי בפרמטר (ריבית). </t>
  </si>
  <si>
    <t xml:space="preserve">בעסקה כזו - נפעל בחלוקה לשלבים / חלקים. כל חלק יסתיים רגע לפני השינוי. </t>
  </si>
  <si>
    <t>למה הכוונה?</t>
  </si>
  <si>
    <t>חלק א:</t>
  </si>
  <si>
    <t>שנים 1-4, כאשר הריבית 3%.</t>
  </si>
  <si>
    <t>חלק ב:</t>
  </si>
  <si>
    <t xml:space="preserve">שנים 5-10, כאשר הריבית 2%. </t>
  </si>
  <si>
    <t>חלק ג:</t>
  </si>
  <si>
    <t>שנים 11-12, כאשר הריבית 5%.</t>
  </si>
  <si>
    <t>א</t>
  </si>
  <si>
    <t>ב</t>
  </si>
  <si>
    <t>ג</t>
  </si>
  <si>
    <t>אין פה סדרה אין מצב ל-Set Begin</t>
  </si>
  <si>
    <t>הריבית הנתונה שנתית</t>
  </si>
  <si>
    <t>בחלק הראשון - סכום ההפקדה</t>
  </si>
  <si>
    <t>אין כאן סדרה</t>
  </si>
  <si>
    <t>התשובה</t>
  </si>
  <si>
    <t>עדן תוכל לרכוש בעוד 12 שנים Macbook בעלות של 55,897 ש״ח.</t>
  </si>
  <si>
    <t>תרגיל 9 - ערך עתידי של סכום יחיד בריבית משתנה</t>
  </si>
  <si>
    <t xml:space="preserve">פוקינדה הפקיד היום 100,000 ש״ח לתקופה של 20 שנים. </t>
  </si>
  <si>
    <t>הריבית השנתית בכל אחת מ-7 השנים הראשונות היא 4%.</t>
  </si>
  <si>
    <t>הריבית החצי שנתית בכל אחת מ-5 השנים לאחר מכן היא 3%.</t>
  </si>
  <si>
    <t>הריבית הרבעונית בכל שנה עוקבת (שנים 13-20) היא 1%.</t>
  </si>
  <si>
    <t>מהו הסכום הכולל שיעמוד לרשותו של פוקינדה בתום 20 השנים?</t>
  </si>
  <si>
    <t>שנים 1-7</t>
  </si>
  <si>
    <t>שנים 8-12</t>
  </si>
  <si>
    <t>שנים 13-20</t>
  </si>
  <si>
    <t>תרגיל 10 - ערך עתידי של סדרה משתנה</t>
  </si>
  <si>
    <t xml:space="preserve">נויה הפקידה בכל חודש במהלך 3 השנים האחרונות סכום של 1,000 ש״ח. </t>
  </si>
  <si>
    <t xml:space="preserve">כעת, נרשמה נויה ללימודים, והמכללה שותה לה את הכסף עם קש. לכן, סכום ההפקדה החודשי שלה במשך 4 </t>
  </si>
  <si>
    <t xml:space="preserve">השנים הבאות יקטן ל-20 ש״ח לחודש. </t>
  </si>
  <si>
    <t xml:space="preserve">בסיום הלימודים, מתכננת נויה להפקיד 5,000 ש״ח בתום כל חודש במשך 5 שנים. </t>
  </si>
  <si>
    <t>מהו הסכום הכולל שיעמוד לרשותה של נויה בתום השנה ה-12 אם ידוע שהריבית החודשית קבועה בשיעור 0.5%.</t>
  </si>
  <si>
    <t>שנים 1-3</t>
  </si>
  <si>
    <t>שנים 4-7</t>
  </si>
  <si>
    <t>שלוש שנים</t>
  </si>
  <si>
    <t>ארבע שנים</t>
  </si>
  <si>
    <t>חמש שנים</t>
  </si>
  <si>
    <t>סיכום ביניים - מה למדנו?</t>
  </si>
  <si>
    <t xml:space="preserve">רכשנו מחשבון פיננסי, ולמדנו כיצד לאפס אותו. </t>
  </si>
  <si>
    <t xml:space="preserve">הגדרנו את אופן החישוב של הפרמטרים בשאלות פשוטות - גם בסכום יחיד וגם בסדרות. </t>
  </si>
  <si>
    <t xml:space="preserve">התחלנו לבצע תרגול מורכב יותר - שמתייחס לעסקאות שכוללות שינויים בפרמטרים. </t>
  </si>
  <si>
    <t xml:space="preserve">לבית - נעלה לכם תרגילים נוספים בסגנון זה, ובמפגש הבא נעסוק בתרגולים נוספים. </t>
  </si>
  <si>
    <t>שיעורי בית לשיעור 2 (עם פתרונות מלאים, לא להגשה)</t>
  </si>
  <si>
    <t>קוקי הפקיד 50,000 ש״ח ל-8 שנים בתוכנית חסכון הנושאת ריבית שנתית בשיעור 5%. מהו הסכום הכולל שיעמוד</t>
  </si>
  <si>
    <t>לרשותו בתום השנה ה-8?</t>
  </si>
  <si>
    <t>שאלה 2</t>
  </si>
  <si>
    <t>שלושה חודשים הם רבעון. בשנה יש 4 רבעונים וב-8 שנים יש 32 רבעונים</t>
  </si>
  <si>
    <t>שאלה 3</t>
  </si>
  <si>
    <t>שנתית של 3% בכל שנה לאחר מכן. מהו הסכום הכולל שיעמוד לרשותו בתום השנה ה-8?</t>
  </si>
  <si>
    <t>גונדי הפקיד 50,000 ש״ח ל-8 שנים בתוכנית חסכון הנושאת ריבית שנתית בשיעור 2% בכל אחת מ-4 השנים הראשונות וריבית</t>
  </si>
  <si>
    <t>שאלה 4</t>
  </si>
  <si>
    <t>שנתית של 3% בכל שנה לאחר מכן. מהו הסכום הכולל שיעמוד לרשותו בתום השנה ה-9?</t>
  </si>
  <si>
    <t>פאפא הפקיד 80,000 ש״ח ל-9 שנים בתוכנית חסכון הנושאת ריבית חצי שנתית בשיעור 2% בכל אחת מ-4 השנים הראשונות וריבית</t>
  </si>
  <si>
    <t>שאלה 5</t>
  </si>
  <si>
    <t>חציל מפקיד 4,000 ש״ח לחודש בתום כל חודש במשך 7 שנים. מהו הסכום הכולל שיעמוד לרשותו בתום השנה</t>
  </si>
  <si>
    <t>ה-7 אם הריבית החודשית 2%?</t>
  </si>
  <si>
    <t>שאלה 6</t>
  </si>
  <si>
    <t xml:space="preserve">באבי מפקיד 4,000 ש״ח לחודש בתום כל חודש במשך 10 שנים. בנוסף מפקיד היום סכום חד פעמי של 12,000 ש״ח. </t>
  </si>
  <si>
    <t>שאלה 7</t>
  </si>
  <si>
    <t xml:space="preserve">זוזו הפקיד 80,000 ש״ח ל-9 שנים. בנוסף הפקיד בתום כל חודש במשך 3 השנים הראשונות סכום של 1,000 ש״ח </t>
  </si>
  <si>
    <t>ובתום כל חודש במשך 6 השנים לאחר מכן סכום של 2,000 ש״ח. הריבית החודשית 2%. מהו הסכום הכולל שיעמוד</t>
  </si>
  <si>
    <t>לרשותו בתום השנה ה-9?</t>
  </si>
  <si>
    <t>שאלה 8</t>
  </si>
  <si>
    <t xml:space="preserve">חוחה הפקיד 75,000 ש״ח ל-12 שנים. בנוסף הפקיד בתום כל חודש במשך 3 השנים הראשונות סכום של 2,000 ש״ח </t>
  </si>
  <si>
    <t>והסכומים כולם צברו ריבית חודשית בשיעור 1% עד לסוף השנה ה-12. מהו הסכום הכולל שיעמוד לרשותו של חוחה</t>
  </si>
  <si>
    <t>בתום השנה ה-12?</t>
  </si>
  <si>
    <t>שאלה 9</t>
  </si>
  <si>
    <t>הריבית השנתית בכל אחת מ-4 השנים הראשונות היא 1%.</t>
  </si>
  <si>
    <t>הריבית החצי שנתית בכל אחת מ-7 השנים לאחר מכן היא 1.5%.</t>
  </si>
  <si>
    <t>שנים 1-4</t>
  </si>
  <si>
    <t>שנים 5-11</t>
  </si>
  <si>
    <t>שנים 12-18</t>
  </si>
  <si>
    <t>שבע שנים</t>
  </si>
  <si>
    <t xml:space="preserve">המחיר הצפוי ללאפה בעוד 18 שנים הוא 200 ש״ח. </t>
  </si>
  <si>
    <t>מהו הסכום הכולל שיעמוד לרשותה בתום 18 השנים? האם שי יזכה ללאפה?</t>
  </si>
  <si>
    <t>לא מספיק ללאפה.</t>
  </si>
  <si>
    <t>מורן חלמיש עידן הפקידה היום 40 ש״ח לתקופה של 18 שנים. מטרתה לקנות לדוקטור צבאן לאפה בתום 18 השנים.</t>
  </si>
  <si>
    <t>שאלה 10</t>
  </si>
  <si>
    <t>ד״ר גליונה מקימה בחברה מתחם לחימום נקניק והיא מעוניינת לחסוך למכונת עטיפת מעיים חדשה כדי להשלים את הסט.</t>
  </si>
  <si>
    <t xml:space="preserve">לשם כך שמה מתחת לבלטות 400 ש״ח בתום כל חודש במהלך השנה שחלפה (0% ריבית). </t>
  </si>
  <si>
    <t xml:space="preserve">ריבית רבעונית בשיעור 2% ולהפקיד לשם בתום כל רבעון במשך 3 שנים סכום רבעוני של 600 ש״ח. </t>
  </si>
  <si>
    <t>וחוו דיעה לגבי הסכום)</t>
  </si>
  <si>
    <t>מהו הסכום הכולל שיעמוד לרשותה של ד״ר גליונה בתום השנה ה-9? (רשות: חפשו בגוגל מכונות לעטיפת נקניק במעיים</t>
  </si>
  <si>
    <t xml:space="preserve">היא מתכננת לקחת את כל הסכום שנצבר, לנקות אותו מהג׳יפה של הבלטות, להפקיד את כולו לחסכון הנושא  </t>
  </si>
  <si>
    <t>בתום כל חודש בשנתיים לאחר מכן תפקיד סכום חודשי של 1,000 ש״ח, ובשנתיים אלו החסכון יישא ריבית חודשית בשיעור 0.8%.</t>
  </si>
  <si>
    <t>במהלך 4 השנים לאחר מכן הכספים ימשיכו לצבור ריבית חצי שנתית של 0.3% ללא הפקדות נוספות עד לפירעון שיחול בחלוף 9 שנים מהיום.</t>
  </si>
  <si>
    <t>שנתיים</t>
  </si>
  <si>
    <t>שנים 4-5</t>
  </si>
  <si>
    <t>שנים 6-9</t>
  </si>
  <si>
    <r>
      <t xml:space="preserve">מהו הסכום הכולל שיעמוד לרשותו בתום השנה ה-10 אם הריבית </t>
    </r>
    <r>
      <rPr>
        <b/>
        <sz val="12"/>
        <color rgb="FFFF0000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0.4%?</t>
    </r>
  </si>
  <si>
    <t>הריבית ל-4 חודשים בכל שנה עוקבת (שנים 12-18) היא 0.8%.</t>
  </si>
  <si>
    <t>תרגיל 1 - רמת מבחן</t>
  </si>
  <si>
    <t xml:space="preserve">משה שוקל להפקיד היום 140,000 ש״ח. כמו כן יפקיד בעוד 8 שנים סכום של 90,000 ש״ח. </t>
  </si>
  <si>
    <t xml:space="preserve">בנוסף, בכוונתו להפקיד בתום כל חודש במשך 10 שנים סכום חודשי של 2,000 ש״ח. </t>
  </si>
  <si>
    <t>בהנחה שהריבית החודשית היא 1%, מהו הסכום הכולל שיעמוד לרשותו של משה בתום 10 השנים?</t>
  </si>
  <si>
    <t>האם אטפל בעקרון בשאלה על בסיס ההגדרות של סכום יחיד או סדרה?</t>
  </si>
  <si>
    <t>ניתן לזהות בשאלה גם הפקדה חד פעמית היום וגם סדרה - לכן באופן כללי, ההגדרות של החישוב יתאימו לסדרה.</t>
  </si>
  <si>
    <t>שאלה נוספת שתלווה אותי - האם נחשב ערך עתידי ב״שלב אחד״ או ״בשלבים״?</t>
  </si>
  <si>
    <t>התשובה היא: ״בשלבים״ - ומדוע? משום שאין כאן רק סדרה רציפה עם סכום התחלתי, אלא יש גם הפרעה / שינוי</t>
  </si>
  <si>
    <t xml:space="preserve">ערך נוסף בזמן 8. </t>
  </si>
  <si>
    <t>חודשים</t>
  </si>
  <si>
    <t>תום שנה 10</t>
  </si>
  <si>
    <t>סכום התחלתי</t>
  </si>
  <si>
    <t>n = 120</t>
  </si>
  <si>
    <t>I% = 1</t>
  </si>
  <si>
    <t>הפרעה</t>
  </si>
  <si>
    <t>סכום נוסף</t>
  </si>
  <si>
    <t xml:space="preserve">לאור קיום ההפרעה, נפצל את החישוב לשני חלקים - עד ההפרעה ואחריה. </t>
  </si>
  <si>
    <t>pmt = -2,000</t>
  </si>
  <si>
    <t>לתום זמן 96</t>
  </si>
  <si>
    <t>לפני הפרעה</t>
  </si>
  <si>
    <t>מזמן 96</t>
  </si>
  <si>
    <t>לזמן 120</t>
  </si>
  <si>
    <t>במועד השינוי - לסכום שהצטבר</t>
  </si>
  <si>
    <t>בחודשים קודמים 683,753</t>
  </si>
  <si>
    <t>התשובה הסופית - סך הצבירה: 1,036,408.</t>
  </si>
  <si>
    <t>תרגיל 2 - לתרגול כיתה</t>
  </si>
  <si>
    <t>עדאן הלכה לפתוח חסכון בבנק במסגרתו תפקיד 50,000 ש״ח היום, 40,000 ש״ח בעוד שנה, ו-45,000 ש״ח בעוד 3 שנים.</t>
  </si>
  <si>
    <t xml:space="preserve">כמו כן, במהלך השנה הראשונה לא תפקיד סכום קבוע, אך בכל אחת מהשנים 2, 3, 4 תפקיד סכום חודשי של 3,000 ש״ח. </t>
  </si>
  <si>
    <t xml:space="preserve">מטרתה להגיע למצב שבו בתום השנה ה-4 תצבור 450,000 ש״ח כדי לקנות Macbooks לסטודנטים. </t>
  </si>
  <si>
    <t xml:space="preserve">בהנחה שהריבית החודשית בשנים 1 ו-2 היא 1%, והריבית החודשית בכל חודש לאחר מכן 3%, מהו הסכום הכולל </t>
  </si>
  <si>
    <t xml:space="preserve">שיעמוד לרשות עדאן בתום השנה ה-4. </t>
  </si>
  <si>
    <t>שלב 1 - 
סכום בודד</t>
  </si>
  <si>
    <t>שלב 2
שנה 2 (עד 
ריבית)</t>
  </si>
  <si>
    <t>שלב 4
עד לסיום 
הפקדון</t>
  </si>
  <si>
    <t>הפקדות חד פעמיות</t>
  </si>
  <si>
    <t>פירעון</t>
  </si>
  <si>
    <t>הסופית</t>
  </si>
  <si>
    <t>תרגיל 3 - נקניקיה בפיתה</t>
  </si>
  <si>
    <t xml:space="preserve">שי חולם על נקניקיה בפיתה. </t>
  </si>
  <si>
    <t>הוא גדל באור יהודה ולכן עלות פיתה עבורו היא בגדר חלום.</t>
  </si>
  <si>
    <t xml:space="preserve">לאחר שנתיים, נגמר לשי הכסף. הוא השאיר את הצבירה בחסכון במשך 3 שנים נוספות. </t>
  </si>
  <si>
    <t xml:space="preserve">והסכום כולו נפרע בתום השנה ה-6. </t>
  </si>
  <si>
    <t xml:space="preserve">בהנחה שהריבית לאחר השנה השניה היא ריבית חודשית קבועה של 0.8%, </t>
  </si>
  <si>
    <t xml:space="preserve">ובהינתן שעלות של נקניקיה בפיתה בתום השנה ה-6 צפויה להיות 38 ש״ח, האם יוכל שי להגשים את חלומו. </t>
  </si>
  <si>
    <r>
      <t xml:space="preserve">לשם הגשמת החלום החליט להפקיד היום </t>
    </r>
    <r>
      <rPr>
        <b/>
        <sz val="12"/>
        <color rgb="FFFF0000"/>
        <rFont val="David"/>
        <family val="2"/>
        <charset val="177"/>
      </rPr>
      <t>2</t>
    </r>
    <r>
      <rPr>
        <sz val="12"/>
        <color theme="1"/>
        <rFont val="David"/>
        <family val="2"/>
        <charset val="177"/>
      </rPr>
      <t xml:space="preserve"> ש״ח שגנב מקערת הטיפים בקפיטריה וכן להפקיד בתום כל חודש</t>
    </r>
  </si>
  <si>
    <r>
      <t xml:space="preserve">במשך שנתיים </t>
    </r>
    <r>
      <rPr>
        <b/>
        <sz val="12"/>
        <color rgb="FF0070C0"/>
        <rFont val="David"/>
        <family val="2"/>
        <charset val="177"/>
      </rPr>
      <t>חצי שקל</t>
    </r>
    <r>
      <rPr>
        <sz val="12"/>
        <color theme="1"/>
        <rFont val="David"/>
        <family val="2"/>
        <charset val="177"/>
      </rPr>
      <t xml:space="preserve"> (כל חודש). </t>
    </r>
  </si>
  <si>
    <r>
      <t xml:space="preserve">הריבית החודשית בשנה הראשונה </t>
    </r>
    <r>
      <rPr>
        <b/>
        <sz val="12"/>
        <color rgb="FF00B050"/>
        <rFont val="David"/>
        <family val="2"/>
        <charset val="177"/>
      </rPr>
      <t>1</t>
    </r>
    <r>
      <rPr>
        <sz val="12"/>
        <color theme="1"/>
        <rFont val="David"/>
        <family val="2"/>
        <charset val="177"/>
      </rPr>
      <t xml:space="preserve">%. בשנה השניה, </t>
    </r>
    <r>
      <rPr>
        <b/>
        <sz val="12"/>
        <color rgb="FFFF8AD8"/>
        <rFont val="David"/>
        <family val="2"/>
        <charset val="177"/>
      </rPr>
      <t>0.5</t>
    </r>
    <r>
      <rPr>
        <sz val="12"/>
        <color theme="1"/>
        <rFont val="David"/>
        <family val="2"/>
        <charset val="177"/>
      </rPr>
      <t xml:space="preserve">%. </t>
    </r>
  </si>
  <si>
    <t>תום שנה 1</t>
  </si>
  <si>
    <t>תום שנה 2</t>
  </si>
  <si>
    <t>תום שנה 5</t>
  </si>
  <si>
    <r>
      <t xml:space="preserve">בתום השנה השלישית הנוספת (בתום שנה 5 ביחס להיום), </t>
    </r>
    <r>
      <rPr>
        <b/>
        <sz val="12"/>
        <color theme="1"/>
        <rFont val="David"/>
        <family val="2"/>
        <charset val="177"/>
      </rPr>
      <t>הוסיף סכום חד פעמי של 4 ש״ח שקיבל מסטודנט</t>
    </r>
    <r>
      <rPr>
        <sz val="12"/>
        <color theme="1"/>
        <rFont val="David"/>
        <family val="2"/>
        <charset val="177"/>
      </rPr>
      <t xml:space="preserve">. </t>
    </r>
  </si>
  <si>
    <t>עוצרים בזמן 12, בתום השנה ה-1</t>
  </si>
  <si>
    <t>לאור שינוי הריבית במועד זה</t>
  </si>
  <si>
    <t>עוצר בזמן 24</t>
  </si>
  <si>
    <t>בתום השנה</t>
  </si>
  <si>
    <t>ה-2</t>
  </si>
  <si>
    <t>לאור הפסקת ההפקדות</t>
  </si>
  <si>
    <t>וגם שינוי הריבית</t>
  </si>
  <si>
    <t>עוצר בזמן 60</t>
  </si>
  <si>
    <t>כי יש תוספת</t>
  </si>
  <si>
    <t xml:space="preserve">סכום חד </t>
  </si>
  <si>
    <t>פעמי</t>
  </si>
  <si>
    <t>תום שנה 6</t>
  </si>
  <si>
    <t>שלב 1</t>
  </si>
  <si>
    <t>שלב 2</t>
  </si>
  <si>
    <t>שלב 3</t>
  </si>
  <si>
    <t>שלב 4</t>
  </si>
  <si>
    <t xml:space="preserve">שי לא יוכל להגשים את חלומו לפיתה עם נקניק עתיר קוליפורמים. </t>
  </si>
  <si>
    <t>תרגיל 4 - פינת ליטוף</t>
  </si>
  <si>
    <t xml:space="preserve">חורחה מעוניין להקים פינת ליטוף במרכז האקדמי למשפט ועסקים ברמת גן. </t>
  </si>
  <si>
    <t xml:space="preserve">לשם כך, יפקיד היום 100 ש״ח, בעוד שנה 200 ש״ח, וכן בתום כל חודש 5 ש״ח. </t>
  </si>
  <si>
    <t xml:space="preserve">אם ידוע שהריבית החודשית קבועה בשיעור 2% לחודש, מהו הסכום הכולל שיעמוד לרשותו של חורחה בתום שנתיים. </t>
  </si>
  <si>
    <t>״הפרעה״</t>
  </si>
  <si>
    <t>שנובעת</t>
  </si>
  <si>
    <t>מהפקדת סכום חד פעמי</t>
  </si>
  <si>
    <t>נוסף, לכן שלב נוסף</t>
  </si>
  <si>
    <t>מפגש 3 - סיכום בסיסי של תרגילי ערך עתידי FV</t>
  </si>
  <si>
    <t>שיעור 4 - ערך נוכחי PV - הבסיס לכל החלטה עסקית וחישוב שווי</t>
  </si>
  <si>
    <t>רקע:</t>
  </si>
  <si>
    <t xml:space="preserve">בכל 3 השיעורים הקודמים עסקנו בחישוב ערך עתידי FV - Future Value. </t>
  </si>
  <si>
    <t xml:space="preserve">חישובים אלו עזרו לנו להבין כמה נקבל בעתיד אם נפקיד (כולל ריבית המצטברת), </t>
  </si>
  <si>
    <t xml:space="preserve">וכן כמה נצטרך לשלם בעתיד אם ניקח הלוואה (כולל הריבית המצטברת). </t>
  </si>
  <si>
    <t>במישור הפרטי (ביום יום שלנו) - חישובים אלו שימושיים מאד. כולנו לוקחים הלוואות, כולנו משקיעים - ורוצים</t>
  </si>
  <si>
    <t xml:space="preserve">לדעת כמה נקבל / נשלם. </t>
  </si>
  <si>
    <t>לעומת זאת, בהחלטות עסקיות - במקרים רבים השאלה הכי מעניינת היא:</t>
  </si>
  <si>
    <t>״כמה זה שווה היום״:</t>
  </si>
  <si>
    <t>כמה שווה היום דירה שתימכר בעתיד בסכום מסוים?</t>
  </si>
  <si>
    <t>כמה שווה היום נכס שניתן להשכיר ולקבל בגינו דמי שכירות בעתיד?</t>
  </si>
  <si>
    <t>כמה שווה היום מניה שתשלם דיבידנד בעתיד (תשלום רווח למשקיע)?</t>
  </si>
  <si>
    <t>מהו סכום ההלוואה שאני כבנק אסכים לתת היום ללקוח על בסיס משכורתו העתידית?</t>
  </si>
  <si>
    <t xml:space="preserve">סכום או סכומים בעתיד: PV או Present Value. </t>
  </si>
  <si>
    <t>שאלה 1 - הדגמת ערך נוכחי בסיסי, של סכום יחיד</t>
  </si>
  <si>
    <t xml:space="preserve">וורקיטו שוקלת לרכוש היום נכס השקעה. ידוע לוורקיטו שהנכס צפוי להניב בעוד 7 שנים סכום של 300,000 ש״ח. </t>
  </si>
  <si>
    <t xml:space="preserve">הואיל והשאלה דורשת לחשב את הסכום שנסכים לשלם במקסימום עבור הנכס היום - מדובר בשווי הנכס היום, PV. </t>
  </si>
  <si>
    <t>כדי לבצע את החישוב, נגדיר:</t>
  </si>
  <si>
    <t>להלן ההגדרות הרלוונטיות לחישוב ערך נוכחי של סכום יחיד בריבית קבועה:</t>
  </si>
  <si>
    <t>הריבית הנתונה - מדובר בריבית שנתית נתונה</t>
  </si>
  <si>
    <t>בהנחה שהריבית השנתית היא 6%, מהו הסכום המירבי שתסכים וורקיטו לשלם בעד הנכס היום?</t>
  </si>
  <si>
    <t>מספר תקופות הריבית - הריבית שנתית, העסקה ל-7 שנים</t>
  </si>
  <si>
    <t>אין כאן סדרה, מקבלים רק סכום יחיד ״בסוף״</t>
  </si>
  <si>
    <t>הסכום היחיד / החד פעמי בסיום העסקה</t>
  </si>
  <si>
    <t>התוצאה, הערך המחושב</t>
  </si>
  <si>
    <t>התוצאה נתקבלה במינוס, הואיל והמשמעות היא: ״אני מוכן לשלם היום לכל היותר 199,517 ש״ח כדי לקבל נכס</t>
  </si>
  <si>
    <t xml:space="preserve">שיניב בעוד 7 שנים סכום של 300,000״. </t>
  </si>
  <si>
    <t>שאלה 1.1 - הדגמת ערך נוכחי בסיסי, של סכום יחיד - לאימון כיתה</t>
  </si>
  <si>
    <t>עידו מעוניין לרכוש מכונה לחימום נקניק. המכונה צפויה להניב לו תקבול חד פעמי בעוד 3 שנים בסכום של 20,000 ש״ח.</t>
  </si>
  <si>
    <r>
      <t xml:space="preserve">מהו הסכום המירבי שיסכים עידו לשלם היום בעד מכונת הנקניק אם הריבית </t>
    </r>
    <r>
      <rPr>
        <b/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היא 0.4%?</t>
    </r>
  </si>
  <si>
    <t>הריבית הנתונה - ריבית חודשית</t>
  </si>
  <si>
    <t>מספר תקופות הריבית - מספר החודשים ב-3 שנים</t>
  </si>
  <si>
    <t xml:space="preserve">הסכום המירבי שיסכים עידו לשלם בעד מכונת חימום הנקניק הוא 17,322.73 ש״ח. </t>
  </si>
  <si>
    <t>שאלה 2 - הדגמת ערך נוכחי בסיסי - של סדרה קבועה</t>
  </si>
  <si>
    <t xml:space="preserve">עידו מעוניין לרכוש מגרש שעליו יוקם מפעל לחימום נקניק. </t>
  </si>
  <si>
    <t xml:space="preserve">המגרש צפוי להניב לעידו דמי שכירות חודשיים בסכום של 7,000 ש״ח במשך 20 שנה. </t>
  </si>
  <si>
    <t>בהנחה שהריבית החודשית היא 0.9%, מהו הסכום המירבי שיסכים עידו לשלם היום בעד מפעל חימום הנקניק?</t>
  </si>
  <si>
    <t>להלן ההגדרות הרלוונטיות לחישוב ערך נוכחי של סדרה:</t>
  </si>
  <si>
    <t>מדובר בסדרה עם תשלומים חודשיים - נדרשת ריבית חודשית</t>
  </si>
  <si>
    <t>מספר התשלומים בסדרה - כאן: זהה למספר החודשים</t>
  </si>
  <si>
    <t>התשלום התקופתי הקבוע החודשי - עידו יקבל, לכן +</t>
  </si>
  <si>
    <t>תקבול חד פעמי בסיום העסקה (כאן - אין, רק סדרה)</t>
  </si>
  <si>
    <t xml:space="preserve">הסכום המירבי שיסכים עידו לשלם בעד המגרש היום הוא כ-687,209.60.  </t>
  </si>
  <si>
    <t>השווי היום / הסכום המירבי שעידו ישלם היום</t>
  </si>
  <si>
    <t>שאלה 2.1 - הדגמת ערך נוכחי בסיסי - של סדרה קבועה - התנסות כיתה</t>
  </si>
  <si>
    <t xml:space="preserve">מועאד מעוניין לרכוש מכונה ללק ג׳ל. </t>
  </si>
  <si>
    <t xml:space="preserve">הוא צופה להניב ממנה הכנסה חודשית נקיה של 15,000 ש״ח לחודש, במשך 5 שנים. </t>
  </si>
  <si>
    <t>בהנחה שהריבית החודשית היא 0.4%, מהו הסכום המירבי שיסכים מועאד לשלם בעד מכונת לק הג׳ל היום?</t>
  </si>
  <si>
    <t xml:space="preserve">לפרטים וזימון תור ללק ג׳ל אצל מועאד - צרו קשר פרטים בביו. </t>
  </si>
  <si>
    <t>השווי היום / הסכום המירבי שמועאד ישלם היום</t>
  </si>
  <si>
    <t xml:space="preserve">הסכום המירבי שמועאד יסכים לשלם בעד מכונת לק הג׳ל היום הוא כ-798,733 ש״ח. </t>
  </si>
  <si>
    <t>שאלה 3 - ערך נוכחי של סכום יחיד וסדרה יחד, ריבית קבועה</t>
  </si>
  <si>
    <t xml:space="preserve">מרווה שוקלת לרכוש מכונה ענקית לחימום נקניק. </t>
  </si>
  <si>
    <t>המכונה תניב לה בתום כל חודש במשך 5 שנים סכום של 3,000 ש״ח.</t>
  </si>
  <si>
    <t xml:space="preserve">כמו כן, בסיום 5 השנים, המכונה תוכל להמכר בתמורה משוערת של 40,000 ש״ח. </t>
  </si>
  <si>
    <t>מהו הסכום המירבי שתסכים מרווה לשלם היום בעד המכונה, אם הריבית השנתית היא 6%?</t>
  </si>
  <si>
    <t>כשאני
מזהה
סדרה וסכום
יחיד
הפרמטרים
מוגדרים כסדרה</t>
  </si>
  <si>
    <t xml:space="preserve">הואיל ויש כאן סדרה (למרות שיש גם סכום יחיד) - הריבית %I חייבת להתאים לתקופת תשלום. </t>
  </si>
  <si>
    <t>כאן - התקבול הוא חודשי, לכן נדרשת ריבית חודשית.</t>
  </si>
  <si>
    <t xml:space="preserve">לצערי, הריבית שנתנו לי שנתית. לכן צריך להתאים אותה (בגישת ריבית דריבית) משנה לחודש. </t>
  </si>
  <si>
    <t>ההמרה הזו מתבססת על מעריך חזקה מתאים באופן הבא:</t>
  </si>
  <si>
    <t>חישוב מתמטי רגיל (מחוץ ל-CMPD):</t>
  </si>
  <si>
    <t>במחשבון:</t>
  </si>
  <si>
    <t>בהזנה למחשבון הפיננסי, ערך זה (של החישוב במחשבון לעיל) יוכפל ב-100 משום שב-CMPD הכל באחוזים:</t>
  </si>
  <si>
    <t xml:space="preserve">0.004867551 * 100 = </t>
  </si>
  <si>
    <t xml:space="preserve">(1 + 6%)^(1/12)-1 = </t>
  </si>
  <si>
    <t xml:space="preserve">(1 + 6/100)^(1/12)-1 = </t>
  </si>
  <si>
    <t>שאלה 3.1 - ערך נוכחי של סכום יחיד וסדרה יחד, ריבית קבועה - התנסות כיתה</t>
  </si>
  <si>
    <t xml:space="preserve">באדר שוקל להקים בית מלון שיתמחה בהגשת נקניק חם לאורחים. </t>
  </si>
  <si>
    <t>בית המלון צפוי להניב לו בתום כל חצי שנה סכום של 200,000 ש״ח ובנוסף בעוד 14 שנים סכום</t>
  </si>
  <si>
    <t xml:space="preserve">חד פעמי של 4,000,000 ש״ח. </t>
  </si>
  <si>
    <t>מהו הסכום המירבי שיסכים באדר לשלם היום בעד המכונה, אם הריבית השנתית היא 10.25%?</t>
  </si>
  <si>
    <t>זכרו - הואיל ויש סדרה, הריבית צריכה להתאים לתקופת תשלום, כלומר לחצי שנה. לצערנו הריבית נתונה לשנה שלמה</t>
  </si>
  <si>
    <t xml:space="preserve">ולכן תדרש התאמה. אמנם בעבר עשינו בעיקר התאמות משנה לחודש, אבל משנה לחצי שנה זה לא שונה בהרבה - </t>
  </si>
  <si>
    <t xml:space="preserve">פשוט נשנה את החזקה בהתאם. </t>
  </si>
  <si>
    <t>ריבית לתקופת תשלום - לחצי שנה, אופן המרה - למטה</t>
  </si>
  <si>
    <t>מספר התקבולים החצי שנתיים ב-14 שנים</t>
  </si>
  <si>
    <t>תקבול תקופתי קבוע +</t>
  </si>
  <si>
    <t>תקבול חד פעמי בסוף</t>
  </si>
  <si>
    <t>מסקנה: הסכום המירבי שיסכים באדר לשלם היום הוא 4,000,000 ש״ח.</t>
  </si>
  <si>
    <t>שאלה 4 - חישוב ערך נוכחי של סדרה וסכום יחיד עם התאמת ריבית</t>
  </si>
  <si>
    <t>יארה פנתה לעידו. היא ציינה בפניו שיש לה כסף פנוי להשקעה.</t>
  </si>
  <si>
    <t>עידו סיפר לה שהוא שמע על הזדמנות השקעה חד פעמית בקו מכונות חימום נקניק שפרוס ברחבי המרכז האקדמי</t>
  </si>
  <si>
    <t xml:space="preserve">למשפט ולעסקים. </t>
  </si>
  <si>
    <t>קו מכונות הנקניק יקנה ליארה בתום כל רבעון במשך 10 השנים הקרובות סכום של 30,000 ש״ח, ובתום 10 השנים</t>
  </si>
  <si>
    <t xml:space="preserve">סכום חד פעמי של 400,000 ש״ח ובמועד זה, הפרויקט יסתיים. </t>
  </si>
  <si>
    <t>יחד עם זאת, בסיום הפרויקט, תצטרך יארה לבצע על חשבונה ניקיון מקיף מכל שאריות הכרבולות והפופיקים בקמפוס</t>
  </si>
  <si>
    <t>בעלות חד פעמית של 45,000 ש״ח.</t>
  </si>
  <si>
    <t>בהנחה שהריבית השנתית 4%, מהו הסכום שיארה תסכים לשלם היום בעד הפרויקט?</t>
  </si>
  <si>
    <t>ריבית לתקופת תשלום</t>
  </si>
  <si>
    <t>מספר התשלומים הקבועים</t>
  </si>
  <si>
    <t>הערך המחושב - ערך נוכחי</t>
  </si>
  <si>
    <t>התקבול הקבוע בכל תקופה - כל רבעון</t>
  </si>
  <si>
    <t>התקבול החד פעמי בסיום הפרויקט</t>
  </si>
  <si>
    <t>המרת ריבית (נוסחה) - משנה לרבעון:</t>
  </si>
  <si>
    <t>לאחר יישום נוסחת הריבית הזו נכפול ב-100,</t>
  </si>
  <si>
    <t xml:space="preserve">ורק את התוצאה נכניס ל-%I. </t>
  </si>
  <si>
    <t>סכום זה מורכב מהתקבול בתום התקופה:</t>
  </si>
  <si>
    <t>בניכוי עלויות הניקיון שישולמו באותו זמן:</t>
  </si>
  <si>
    <t>סך הכל תקבול בתום התקופה נטו:</t>
  </si>
  <si>
    <t xml:space="preserve">0.00985347 * 100 = </t>
  </si>
  <si>
    <t>שאלה 4.1 - חישוב ערך נוכחי של סדרה וסכום יחיד עם התאמת ריבית - להתנסות כיתה</t>
  </si>
  <si>
    <t xml:space="preserve">מה הערך הנוכחי של סדרה הכוללת תקבול של 40,000 ש״ח כל חודש במשך 4 שנים, אם ידוע שהריבית השנתית </t>
  </si>
  <si>
    <t xml:space="preserve">היא 12.6825% וכמו כן בסיום העסקה עליכם לשלם סכום חד פעמי של 12,000 ש״ח. </t>
  </si>
  <si>
    <t>המרת ריבית משנה לחודש:</t>
  </si>
  <si>
    <t>ריבית לפרק זמן בין תשלומים</t>
  </si>
  <si>
    <t>הערך שמחשבים</t>
  </si>
  <si>
    <t>התשלום הקבוע</t>
  </si>
  <si>
    <t>התשלום החד פעמי בסוף התקופה</t>
  </si>
  <si>
    <t xml:space="preserve">בתרגיל זה: אנחנו משלמים (מוציאים כסף) בתום התקופה ולא מקבלים. </t>
  </si>
  <si>
    <t>לכן, הערך המשולם כאן בתום התקופה מוזן בסימן שלילי (במינוס)</t>
  </si>
  <si>
    <t>מסקנה: הערך הנוכחי של הסדרה הוא 1,511,515 ש״ח.</t>
  </si>
  <si>
    <t xml:space="preserve">עידו מעוניין לרכוש את המכונה שבתמונה. </t>
  </si>
  <si>
    <t xml:space="preserve">לשם כך באפשרותו ליטול הלוואה היום. </t>
  </si>
  <si>
    <t>כושר ההחזר של עידו (הסכום שאותו יוכל להחזיר בתום</t>
  </si>
  <si>
    <t xml:space="preserve">כל חודש לבנק) הוא 3,000 ש״ח. </t>
  </si>
  <si>
    <t xml:space="preserve">משך הפרויקט הוא 8 שנים. </t>
  </si>
  <si>
    <t>הבנק גובה מעידו ריבית שנתית של 8%.</t>
  </si>
  <si>
    <t xml:space="preserve">נדרש: מהו הסכום של ההלוואה אשר הבנק יאשר היום, </t>
  </si>
  <si>
    <t>לטובת הרכישה, בהתאם לכושר ההחזר שלו?</t>
  </si>
  <si>
    <t xml:space="preserve">הדרכה: הערך הנוכחי של התשלומים שיכול עידו לבצע - </t>
  </si>
  <si>
    <t xml:space="preserve">הוא למעשה סכום ההלוואה שיועבר אליו היום. </t>
  </si>
  <si>
    <t>ריבית לחודש</t>
  </si>
  <si>
    <t>מספר התשלומים החודשיים</t>
  </si>
  <si>
    <t>התשלום החודשי הקבוע</t>
  </si>
  <si>
    <t>מדוע במינוס? כי משלמים כל חודש, לא מקבלים</t>
  </si>
  <si>
    <t>תשלום / תקבול חד פעמי בסוף</t>
  </si>
  <si>
    <t>סכום ההלוואה היום</t>
  </si>
  <si>
    <t>סכום הלוואה הוא הערך הנוכחי של החזריה</t>
  </si>
  <si>
    <t>אינני מתפלא על כך שקיבלתי תוצאה חיובית, המעידה על כך שאנו צפויים לקבל היום כסף - בעד המחויבות לשלם בעתיד.</t>
  </si>
  <si>
    <t>מפגש 5 - יסודות המימון א - ערך נוכחי - הרחבות ויישומים</t>
  </si>
  <si>
    <t>רענון וחיבור לאחור:</t>
  </si>
  <si>
    <t>במפגשים הראשונים עסקנו בחישוב ערך עתידי - FV.</t>
  </si>
  <si>
    <t>המטרה שלו היתה - לבדוק מהו הסכום הכולל הנצבר בגין סכום יחיד, בגין סדרה, בגין הפקדות משתנות - לתום</t>
  </si>
  <si>
    <t xml:space="preserve">התקופה. </t>
  </si>
  <si>
    <t xml:space="preserve">במפגש האחרון - התחלנו לדבר דווקא על ערך נוכחי - PV. </t>
  </si>
  <si>
    <t>זה חישוב קצת פחות טריביאלי - אבל המטרה העקורנית שלו היא להצליח לבטא את השווי היום של סכום או</t>
  </si>
  <si>
    <t xml:space="preserve">סכומים שיתקבלו / ישולמו בעתיד. </t>
  </si>
  <si>
    <t>חישובי PV הם חשובים מאד ברמה העסקית - כי בדרך כלל נשאל ״כמה הנכס שווה״ כדי לדעת אם להתקשר בעסקה.</t>
  </si>
  <si>
    <t>תרגיל 0 - ערך נוכחי בחישוב פשוט יחסית</t>
  </si>
  <si>
    <t>גורגונזולה שוקלת לרכוש היום נכס שצפוי להניב לה 5,000 ש״ח בתום כל שנה במשך 10 שנים, וכמו כן, בתום</t>
  </si>
  <si>
    <t xml:space="preserve">השנה ה-10 הנכס יימכר בתמורה צפויה של 40,000 ש״ח. בהנחה שהריבית השנתית של גורגונזולה היא 4%, </t>
  </si>
  <si>
    <t>מהו הסכום המירבי שהיא תסכים לשלם בעד הנכס היום?</t>
  </si>
  <si>
    <t>בתור התחלה - עלינו לזהות את סוג השאלה. עלינו להבין לעומק - מדוע דווקא ערך נוכחי?</t>
  </si>
  <si>
    <r>
      <t xml:space="preserve">התשובה היא - שצריך לחשב פה ערך נוכחי PV משום שסוג השאלה עוסק במטרת להגיע לשווי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</si>
  <si>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שנים</t>
  </si>
  <si>
    <t>...</t>
  </si>
  <si>
    <t>PV = ?</t>
  </si>
  <si>
    <t>תרגיל 1 - ערך נוכחי מסובך עם שינויים</t>
  </si>
  <si>
    <t>פוקהונטס שוקלת להשקיע בנכס נדל״ן שצפוי להניב לה 5,000 ש״ח בתום כל חודש במשך 7 שנים, ולאחר מכן</t>
  </si>
  <si>
    <t>סכום חודשי של 8,000 ש״ח בתום כל חודש במשך 10 שנים נוספות.</t>
  </si>
  <si>
    <t xml:space="preserve">בתום השנה ה-17 צפוי הנכס להמכר בתמורה ל-3,000,000 ש״ח. </t>
  </si>
  <si>
    <t>בנתונים אלו, ובהנחה שהריבית החודשית היא 0.4%, מהו המחיר המירבי שפוקהונטס תסכים לשלם בעד הנכס היום?</t>
  </si>
  <si>
    <t>תום שנה 17</t>
  </si>
  <si>
    <t>בחודשים</t>
  </si>
  <si>
    <t>תום שנה 7</t>
  </si>
  <si>
    <r>
      <t xml:space="preserve">כאשר אני מבצע חישוב של PV ״מורכב״ (עם שינויים) אני תמיד עובד </t>
    </r>
    <r>
      <rPr>
        <b/>
        <sz val="12"/>
        <color theme="1"/>
        <rFont val="David"/>
        <family val="2"/>
        <charset val="177"/>
      </rPr>
      <t>מהסוף להתחלה</t>
    </r>
    <r>
      <rPr>
        <sz val="12"/>
        <color theme="1"/>
        <rFont val="David"/>
        <family val="2"/>
        <charset val="177"/>
      </rPr>
      <t xml:space="preserve">. </t>
    </r>
  </si>
  <si>
    <t xml:space="preserve">זה בדיוק להפך (שונה מהותית) מחישוב FV מורכב שעובד מההתחלה לסוף. </t>
  </si>
  <si>
    <t>שלב א</t>
  </si>
  <si>
    <t>שלב ב</t>
  </si>
  <si>
    <t>הזנת הערכים של שלב א</t>
  </si>
  <si>
    <t>וביצוע SOLVE PV</t>
  </si>
  <si>
    <t>את ה-PV של שלב א</t>
  </si>
  <si>
    <t xml:space="preserve">נזין ל-FV של שלב ב אבל בסימן הפוך. </t>
  </si>
  <si>
    <t>נשלים את ההזנה של כל יתר הפרמטרים</t>
  </si>
  <si>
    <t>של שלב ב, ונבצע SOLVE PV</t>
  </si>
  <si>
    <t xml:space="preserve">אחרון. התוצאה שתתקבל - </t>
  </si>
  <si>
    <t xml:space="preserve">היא שווי הנכס. </t>
  </si>
  <si>
    <t>תרגיל 2 - ערך נוכחי מסובך עם שינויים</t>
  </si>
  <si>
    <t xml:space="preserve">רונאלדו שוקל להשקיע בנכס. </t>
  </si>
  <si>
    <t>הנכס צפוי להניב לו 30,000 ש״ח בתום כל חודש במשך 5 שנים, כאשר התקבול</t>
  </si>
  <si>
    <t xml:space="preserve">הראשון הוא חודש אחד לאחר תום השנה ה-3. </t>
  </si>
  <si>
    <t>בשנה ה-9 הנכס לא יניב דבר, ובשנה ה-10 וה-11 יקבל 20,000 ש״ח בתום כל חודש.</t>
  </si>
  <si>
    <t>בתום השנה ה-14, ימכור את הנכס בתקבול חד פעמי של 5,000,000 ש״ח.</t>
  </si>
  <si>
    <t xml:space="preserve">בהנחה שהריבית החודשית אליה כפוף רונאלדו היא 1%, מהו הסכום הכולל </t>
  </si>
  <si>
    <t>שיסכים לשלם רונאלדו בעד הנכס היום?</t>
  </si>
  <si>
    <t>תום</t>
  </si>
  <si>
    <t>שנה 14</t>
  </si>
  <si>
    <t>הציר בחודשים:</t>
  </si>
  <si>
    <t>שנה 3</t>
  </si>
  <si>
    <t>שנה 8</t>
  </si>
  <si>
    <t>שלוש שנים לא מקבל</t>
  </si>
  <si>
    <t>חמש שנים מקבל</t>
  </si>
  <si>
    <t>שנה 9</t>
  </si>
  <si>
    <t>שנה 9 לא מקבל</t>
  </si>
  <si>
    <t>שנים 10, 11</t>
  </si>
  <si>
    <t xml:space="preserve">תום </t>
  </si>
  <si>
    <t>שנה 11</t>
  </si>
  <si>
    <t>שנים 12, 13, 14</t>
  </si>
  <si>
    <t>שלב ג</t>
  </si>
  <si>
    <t>שלב ד</t>
  </si>
  <si>
    <t>שלב ה</t>
  </si>
  <si>
    <t>מס׳ חודשים / מס׳ תשלומים</t>
  </si>
  <si>
    <t xml:space="preserve">רונאלדו מוכן לשלם בעד העסקה סכום של 2,027,343 ש״ח היום. </t>
  </si>
  <si>
    <t>תרגיל 3 - ערך נוכחי מסובך עם שינויים</t>
  </si>
  <si>
    <t>בר רפאלי שוקלת לרכוש נכס שצפוי להניב לה בתום כל חודש במשך שנה סכום של 4,000 ש״ח.</t>
  </si>
  <si>
    <t>לאחר מכן, בתום כל חודש בשנה ה-2 וה-3 יניב הנכס 6,000 ש״ח.</t>
  </si>
  <si>
    <t>בשנה ה-4, הנכס לא יניב דבר (ברמה החודשית), אך בתום השנה ה-4 יניב סכום חד פעמי בסך של 2,000,000 ש״ח.</t>
  </si>
  <si>
    <t>בהנחה שהריבית החודשית היא 1%, מהו שווי הנכס היום?</t>
  </si>
  <si>
    <t>קרולינה למקה ברלין</t>
  </si>
  <si>
    <t>שנה 4</t>
  </si>
  <si>
    <t>1...............12</t>
  </si>
  <si>
    <t>13................</t>
  </si>
  <si>
    <t>תרגיל 4 - ערך נוכחי מסובך עם שינויים</t>
  </si>
  <si>
    <t xml:space="preserve">זמר מצליח שוקל לרכוש היום קו תפעול למכונות חימום נקניק. </t>
  </si>
  <si>
    <t>הקו צפוי להניב לו בתום כל אחת מ-8 השנים הקרובות סכום חצי שנתי</t>
  </si>
  <si>
    <t>של 20,000 ש״ח.</t>
  </si>
  <si>
    <t>בכל רבעון במהלך 3 השנים לאחר מכן, הסכום הרבעוני יהיה 12,000 ש״ח.</t>
  </si>
  <si>
    <t>בשנים 12, 13 ו-14 הסכום החודשי שיניב הקו הוא 9,000 ש״ח.</t>
  </si>
  <si>
    <t>מהו הסכום הכולל שיסכים הזמר המצליח לשלם היום בעד הקו,</t>
  </si>
  <si>
    <t>אם ידוע שהריבית השנתית במשך 8 השנים הראשונות היא 10.25%,</t>
  </si>
  <si>
    <t>ואילו הריבית השנתית בכל שנה לאחר מכן היא 12.6825%.</t>
  </si>
  <si>
    <t xml:space="preserve">דגש - כאשר אני מחשב ערך נוכחי (או עתידי) של סדרות, חשוב מאד לוודא שהריבית שבה משתמשים היא הריבית </t>
  </si>
  <si>
    <t>לתקופת תשלום. כאן - תקופות התשלום משתנות: כל חצי שנה, כל חודש, כל רבעון... והריבית שנתית.</t>
  </si>
  <si>
    <t>לכן, בתור התחלה אנו חייבים לדאוג לכך שהריביות יתאימו בכל הסדרות לפרק הזמן בין תשלומים.</t>
  </si>
  <si>
    <t xml:space="preserve">אם רוצים לעבור משנה לחצי שנה - </t>
  </si>
  <si>
    <t>מעריך החזקה יהיה 1/2</t>
  </si>
  <si>
    <t xml:space="preserve">אם רוצים לעבור </t>
  </si>
  <si>
    <t>משנה לרבעון (1/4 שנה)</t>
  </si>
  <si>
    <t>מעריך החזקה יהיה 1/4</t>
  </si>
  <si>
    <t>אם רוצים</t>
  </si>
  <si>
    <t>לעבור משנה לחודש</t>
  </si>
  <si>
    <t>מעריך החזקה יהיה 1/12</t>
  </si>
  <si>
    <t>11+1/12</t>
  </si>
  <si>
    <t>מפגש 6 - יסודות המימון א - ערך נוכחי - הרחבות ויישומים: הלוואות שפיצר, תכנון פיננסי, חילוצים</t>
  </si>
  <si>
    <t>מטרה:</t>
  </si>
  <si>
    <t>להיות מסוגלים לזהות בעיה כלכלית בתחום של השקעות או הלוואות, תכנון פיננסי ותחומים דומים - ולדעת</t>
  </si>
  <si>
    <t>באיזה כלי להשתמש (ערך נוכחי / עתידי) כדי לפתור את הבעיה.</t>
  </si>
  <si>
    <t>מקרה 1 - חישוב החזר תקופתי בהלוואת שפיצר</t>
  </si>
  <si>
    <t>איתי מעוניין לרכוש היום מכונה לחימום נקניק. עלות המכונה 400,000 ש״ח, אך בכיסו 100,000 ש״ח בלבד.</t>
  </si>
  <si>
    <t>הוא מעוניין לממן את יתרת הסכום בהלוואה ל-3 שנים שתפרע בתשלומים חודשיים שווים, כאשר הריבית החודשית</t>
  </si>
  <si>
    <t xml:space="preserve">היא בשיעור 1%. </t>
  </si>
  <si>
    <t>א. מהו התשלום החודשי הקבוע שיצטרך איתי להחזיר בגין ההלוואה?</t>
  </si>
  <si>
    <t>ב. חשבו באופן פשטני את סך תשלומי הריבית בגין ההלוואה במידה ויטול אותה.</t>
  </si>
  <si>
    <t xml:space="preserve">סכום ההלוואה של איתי: 300,000 ש״ח = 100,000 - 400,000. </t>
  </si>
  <si>
    <t xml:space="preserve">את ההלוואה איתי מתכנן לקחת היום ולכן סכום ההלוואה הוא ערך נוכחי. </t>
  </si>
  <si>
    <t xml:space="preserve">משפט: סכום הלוואה הוא הערך הנוכחי PV של ההחזרים שלה. </t>
  </si>
  <si>
    <t>PV = 300,000</t>
  </si>
  <si>
    <t>סכום ההלוואה</t>
  </si>
  <si>
    <t>אין בעסקה תשלום / תקבול חד פעמי בסוף</t>
  </si>
  <si>
    <r>
      <t>ה-PV נרשם בסכום חיובי, הואיל וזו הלוואה ש</t>
    </r>
    <r>
      <rPr>
        <b/>
        <sz val="12"/>
        <color theme="1"/>
        <rFont val="David"/>
        <family val="2"/>
        <charset val="177"/>
      </rPr>
      <t>מקבלים</t>
    </r>
  </si>
  <si>
    <t>ה-PMT יוצא שלילי, כי משלמים אותו (כל חודש)</t>
  </si>
  <si>
    <t>תשובה סופית: 9,964 ש״ח</t>
  </si>
  <si>
    <t>כדי לדעת מה הסכום הכולל של ריבית ששילמתי לאורך חיי הלוואה אני צריך לדעת שני דברים:</t>
  </si>
  <si>
    <t>כמה כסף קיבלתי בסך הכל - סכום ההלוואה</t>
  </si>
  <si>
    <t>כמה כסף בסך הכל שילמתי</t>
  </si>
  <si>
    <t xml:space="preserve">9,964 * 36 = </t>
  </si>
  <si>
    <t>סכום הריבית הכולל ששולם - ההפרש</t>
  </si>
  <si>
    <t xml:space="preserve">358,704 - 300,000 = </t>
  </si>
  <si>
    <t>תשובה סופית: 58,704 ש״ח.</t>
  </si>
  <si>
    <t>סיכום ביניים:</t>
  </si>
  <si>
    <t>אם אני יודע סכום של הלוואה - PV, ואני יודע שהיא נפרעת בתשלומים שווים (לוח שפיצר), אז אפשר לחלץ את ה-PMT</t>
  </si>
  <si>
    <t>ולגלות את התשלום הקבוע וכן את סך התשלומים והריבית.</t>
  </si>
  <si>
    <t>מקרה 1.1 - חישוב החזר תקופתי בהלוואת שפיצר עם ״בלון״ (בומבה בסוף)</t>
  </si>
  <si>
    <t xml:space="preserve">שרון הביטה על מכונת חימום הנקניק של איתי ואמרה לו ״I'm not impressed״. </t>
  </si>
  <si>
    <t xml:space="preserve">לכן החליטה לקחת הלוואה בסך 1,000,000 ש״ח כדי לרכוש מכונה מדגם משופר. </t>
  </si>
  <si>
    <t>ההלוואה נושאת ריבית חודשית של 1%, ונפרעת בתשלומים חודשיים במשך 4 שנים. בסיום ההלוואה, ישולם התשלום</t>
  </si>
  <si>
    <t>הקבוע בתוספת סכום חד פעמי של 300,000 ש״ח.</t>
  </si>
  <si>
    <t>נדרש: מהו הסכום החודשי שתצטרך שרון להחזיר?</t>
  </si>
  <si>
    <t xml:space="preserve">תשלומים כל חודש (12 בשנה) * 4 שנים, 4 * 12 = </t>
  </si>
  <si>
    <t>התשלומים כל חודש, לכן נדרשת ריבית חודשית - נתונה</t>
  </si>
  <si>
    <t>AMRO</t>
  </si>
  <si>
    <t>בעסקה זו קיים תשלום חד פעמי בסוף, בסימן שלילי</t>
  </si>
  <si>
    <t>התשובה: 21,433.68 ש״ח</t>
  </si>
  <si>
    <t>מקרה 1.2 - חישוב החזר תקופתי בהלוואת שפיצר עם התאמות ריבית משני סוגים</t>
  </si>
  <si>
    <t xml:space="preserve">עדאן מעוניינת לרכוש מחשב חדש (המרצה גנב לה את הקודם). </t>
  </si>
  <si>
    <t xml:space="preserve">לשם כך נטלה הלוואה בסך 30,000 ש״ח לתקופה של 3 שנים. </t>
  </si>
  <si>
    <t xml:space="preserve">ההלוואה מסולקת בתשלומים חודשיים שווים (לוח שפיצר). </t>
  </si>
  <si>
    <t>הריבית השנתית בהלוואה היא 12%.</t>
  </si>
  <si>
    <t>נדרש:</t>
  </si>
  <si>
    <t>א. מהו ההחזר החודשי אם הריבית השנתית בהחזר היא ריבית ״אפקטיבית״?</t>
  </si>
  <si>
    <t>ב. כיצד תשתנה תשובתכם אם הריבית השנתית היא ריבית ״נקובה״ (המחושבת כל חודש)?</t>
  </si>
  <si>
    <t>ההלוואה מוחזרת בסדרת תשלומים חודשיים</t>
  </si>
  <si>
    <t>לכן נדרשת ריבית חודשית.</t>
  </si>
  <si>
    <r>
      <t xml:space="preserve">הריבית הנתונה היא ריבית </t>
    </r>
    <r>
      <rPr>
        <u/>
        <sz val="12"/>
        <color theme="1"/>
        <rFont val="David"/>
        <family val="2"/>
        <charset val="177"/>
      </rPr>
      <t>שנתית</t>
    </r>
    <r>
      <rPr>
        <sz val="12"/>
        <color theme="1"/>
        <rFont val="David"/>
        <family val="2"/>
        <charset val="177"/>
      </rPr>
      <t xml:space="preserve"> אפקטיבית. </t>
    </r>
  </si>
  <si>
    <t xml:space="preserve">עלינו להמיר את הריבית השנתית לחודשית. </t>
  </si>
  <si>
    <t>באופן כללי - אם הריבית אפקטיבית (וגם במצבים שבהם לא אמרו לגביה דבר)</t>
  </si>
  <si>
    <t>המשמעות היא שהיא מחושבת כ״ריבית דריבית״.</t>
  </si>
  <si>
    <t xml:space="preserve">לכן ההמרה שלה תבוצע עם חזקה ולא עם חילוק פשוט. </t>
  </si>
  <si>
    <t>הריבית החודשית, כאשר נתונה</t>
  </si>
  <si>
    <t>ריבית שנתית אפקטיבית (לא נקובה)</t>
  </si>
  <si>
    <t>הריבית השנתית האפקטיבית</t>
  </si>
  <si>
    <t>רוצים חודש אחד</t>
  </si>
  <si>
    <t>מתוך שנה</t>
  </si>
  <si>
    <t>כלומר 1/12 מהתקופה</t>
  </si>
  <si>
    <t>ולכן זה מעריך החזקה</t>
  </si>
  <si>
    <t>כאן - הריבית הנתונה היא אפקטיבית (לא נקובה) שנתית בשיעור 12%, ואני רוצה להגיע לריבית חודשית (כי זו תקופת התשלום):</t>
  </si>
  <si>
    <t>(1 + 12%)^(1/12) - 1 =</t>
  </si>
  <si>
    <t xml:space="preserve">(1 + 12/100)^(1/12) - 1 = </t>
  </si>
  <si>
    <t>התשובה: יש להחזיר כל חודש 987 ש״ח.</t>
  </si>
  <si>
    <t>עד כה, בכל התרגילים שהוצגו - ההנחה היתה שהריבית מחושבת כריבית דריבית (עם חזקה) = ריבית אפקטיבית.</t>
  </si>
  <si>
    <t>המשמעות היא שהמרת הריבית מבוצעת עם כפל / חילוק פשוט, לא עם חזקה.</t>
  </si>
  <si>
    <t xml:space="preserve">ספציפית - כדי לעבור מריבית נקובה שנתית לחודשית, נחלק את הריבית ב-12. </t>
  </si>
  <si>
    <t>12%/12 = 1%</t>
  </si>
  <si>
    <r>
      <t>ב. מהו ההחזר החודשי אם הריבית השנתית בהחזר היא ריבית ״</t>
    </r>
    <r>
      <rPr>
        <b/>
        <u/>
        <sz val="12"/>
        <color theme="1"/>
        <rFont val="David"/>
        <family val="2"/>
        <charset val="177"/>
      </rPr>
      <t>נקובה</t>
    </r>
    <r>
      <rPr>
        <u/>
        <sz val="12"/>
        <color theme="1"/>
        <rFont val="David"/>
        <family val="2"/>
        <charset val="177"/>
      </rPr>
      <t>״?</t>
    </r>
  </si>
  <si>
    <r>
      <t xml:space="preserve">כאשר הריבית הנתונה היא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/ חוזית / פשוטה (שזה הנתון): </t>
    </r>
  </si>
  <si>
    <t>התשלום התקופתי: 996.43 ש״ח.</t>
  </si>
  <si>
    <t>מקרה 2 - חילוץ ריבית באחוזים המסתתרת בהסדר תשלומים:</t>
  </si>
  <si>
    <t xml:space="preserve">מוכרן סלולר מציע לכם לרכוש היום iPhone 16 Pro Max 256GB </t>
  </si>
  <si>
    <t xml:space="preserve">בתמורה ל-36 תשלומים חודשיים קבועים של 195 ש״ח כל אחד. </t>
  </si>
  <si>
    <t xml:space="preserve">לפי האתר, שווי האייפון הוא 7,000 ש״ח. </t>
  </si>
  <si>
    <t>לכאורה זו העסקה:</t>
  </si>
  <si>
    <t>בפועל, זו העסקה:</t>
  </si>
  <si>
    <t xml:space="preserve">קיבלנו שהריבית לתקופת תשלום (לחודש) בכפוף לשווי האמיתי של המוצר שמקבלים היא 1.2765%. </t>
  </si>
  <si>
    <t>כדי לתקן את הריבית לשנה, יש להשתמש בחזקה מתאימה:</t>
  </si>
  <si>
    <t xml:space="preserve">(1 + 1.2765%)^12 - 1 = </t>
  </si>
  <si>
    <t>אז מה למדנו מהתרגיל הזה?</t>
  </si>
  <si>
    <t>קודם כל - אם רוצים להמיר ריבית - בדרך כלל עושים זאת עם חזקה, למעט המקרה הספציפי שבו הריבית נקובה.</t>
  </si>
  <si>
    <t>דבר נוסף - כאשר ריבית בעסקה איננה נתונה (באחוזים) ואני רוצה לגלות אותה, חשוב מאד לשים לב לשווי שמקבלים.</t>
  </si>
  <si>
    <t xml:space="preserve">כשמדובר בהלוואה - סכום ההלוואה הוא השווי שלה. </t>
  </si>
  <si>
    <t xml:space="preserve">כשמדובר במוצר - צריך לבצע בדיקה מעמיקה לגבי השווי שלו. </t>
  </si>
  <si>
    <t>לפי האתר זה שווי האייפון</t>
  </si>
  <si>
    <t>בתכל׳ס שוויה אייפון הוא</t>
  </si>
  <si>
    <t>מקרה 2.2 - חילוץ ריבית באחוזים המסתתרת בהסדר תשלומים:</t>
  </si>
  <si>
    <t xml:space="preserve">אדי מעוניין לרכוש מרצדס חדשה. מחיר המחירון של המרצדס הוא 600,000 ש״ח. </t>
  </si>
  <si>
    <t xml:space="preserve">מציעים לאדי ״במבצע״ לשלם בעד המרצדס ב-60 תשלומים חודשיים שווים של 10,000 ש״ח ״ללא ריבית״. </t>
  </si>
  <si>
    <t>ידוע לכם שאם תתעקשו לשלם במזומן, תוכלו לקבל הנחה בשיעור של עד 10% ממחיר המחירון.</t>
  </si>
  <si>
    <t>מספר התשלומים הקבועים בהסדר</t>
  </si>
  <si>
    <t>סכום ההלוואה / שווי המוצר המתקבל</t>
  </si>
  <si>
    <t>סכום חד פעמי שמשלמים או מקבלים ״בסוף״</t>
  </si>
  <si>
    <t>כאשר רוכשים מוצר בתשלומים, ה-PV הוא שווי המוצר הנרכש היום</t>
  </si>
  <si>
    <t>שווי המוצר הנרכש = כמה נשלם בעדו / כמה הוא שווה אם משלמים עליו</t>
  </si>
  <si>
    <t>במזומן, מיד, היום</t>
  </si>
  <si>
    <t xml:space="preserve">המחיר במזומן כאן (שהוא השווי) הוא 600,000 בניכוי הנחה של 10%, </t>
  </si>
  <si>
    <t>כלומר:</t>
  </si>
  <si>
    <t>600,000 * (1 - 10%) = 540,000</t>
  </si>
  <si>
    <t>וזה הסכום של PV</t>
  </si>
  <si>
    <t>הריבית התקופתית - תשלום כל חודש, לכן זו ריבית לחודש</t>
  </si>
  <si>
    <r>
      <t xml:space="preserve">בנתונים אלו, מהי הריבית </t>
    </r>
    <r>
      <rPr>
        <b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המגולמת בהסדר?</t>
    </r>
  </si>
  <si>
    <t>המרת הריבית החודשית לשנתית:</t>
  </si>
  <si>
    <t xml:space="preserve">(1 + 0.35214%)^12 - 1 = </t>
  </si>
  <si>
    <t>התשובה הסופית - ריבית שנתית</t>
  </si>
  <si>
    <t>אחת ועוד הריבית החודשית</t>
  </si>
  <si>
    <t>בחזקת 12, כדי להמיר מחודש לשנה</t>
  </si>
  <si>
    <t>מקרה 2.3 - חילוץ ריבית באחוזים המסתתרת בהסדר תשלומים:</t>
  </si>
  <si>
    <t>פדילה מעוניין לרכוש מכונה אוטומטית שיודעת לחמם נקניק ולהכניס אותו לפיתה.</t>
  </si>
  <si>
    <t>לפי מחירון היבואן שמפורסם באינטרנט, עלות המכונה היא 500,000 ש״ח.</t>
  </si>
  <si>
    <t>יחד עם זאת, כאשר פדילה התקשר ליבואן ושאל אותו בנושא, אמר לו היבואן ״אל תדאג. אם אתה רציני - נסתדר.</t>
  </si>
  <si>
    <t xml:space="preserve">אם אתה מביא איתך כסף, נוריד לך בכיף איזה 5% ככה שתרגיש טוב״. </t>
  </si>
  <si>
    <t xml:space="preserve">פדילה התקשה להשיג את הסכום הכולל וחזר ליבואן. </t>
  </si>
  <si>
    <t>היבואן אמר לו ״אין בעיה, בוא נפרוס לך את 500,000 הש״ח ל-10 תשלומים שיבוצעו בתום כל רבעון בסך 50,000 ש״ח</t>
  </si>
  <si>
    <t>כל אחד״.</t>
  </si>
  <si>
    <t>נדרש: מהי הריבית השנתית המגולמת בהסדר התשלומים?</t>
  </si>
  <si>
    <t>=500,000 * (1 - 5%)</t>
  </si>
  <si>
    <t>ה-%I הוא הריבית לתקופת תשלום: כאן - רבעון</t>
  </si>
  <si>
    <t>כעת עלינו לקחת ריבית רבעונית זו ולתרגם אותה מרבעון לשנה:</t>
  </si>
  <si>
    <t xml:space="preserve">(1 + 0.94365%)^4 - 1 = </t>
  </si>
  <si>
    <t xml:space="preserve">אחת ועוד הריבית </t>
  </si>
  <si>
    <t>שהיא ריבית לרבעון</t>
  </si>
  <si>
    <t>המרה של רבעון</t>
  </si>
  <si>
    <t>לשנה שלמה</t>
  </si>
  <si>
    <t>בחזקת 4</t>
  </si>
  <si>
    <t>מקרה 2.4 - חילוץ ריבית באחוזים המסתתרת בהסדר תשלומים:</t>
  </si>
  <si>
    <t>פדילה מעוניין לרכוש עוד מכונה לחימום נקניק לפי הפרטים להלן:</t>
  </si>
  <si>
    <t>המחיר הקטלוגי של המכונה: 500,000 ש״ח.</t>
  </si>
  <si>
    <t>אם קונים אותה במזומן, מקבלים הנחה של 40,000 ש״ח.</t>
  </si>
  <si>
    <t>אפשר לרכוש את המכונה ב:</t>
  </si>
  <si>
    <t>א. 10 תשלומים חודשיים שווים של 50,000 ש״ח כל אחד.</t>
  </si>
  <si>
    <t>ב. 20 תשלומים חודשיים שווים של 26,000 ש״ח כל אחד.</t>
  </si>
  <si>
    <t xml:space="preserve">נדרש: חשבו את הריבית השנתית בכל מסלול. </t>
  </si>
  <si>
    <t>המרה לשנה:</t>
  </si>
  <si>
    <t>מפגש 7 - 15/12/2024 - יסודות המימון א - פתרון תרגילים מרכזיים מורכבים מתרגיל בית 1 - והמשך יישומי PV</t>
  </si>
  <si>
    <t xml:space="preserve">ערך עתידי - רוצים לדעת מהו הסכום בעתיד, עובדים מההתחלה לסוף. </t>
  </si>
  <si>
    <t>Solve</t>
  </si>
  <si>
    <t>שמונה שנים</t>
  </si>
  <si>
    <t>עד כה: 12 שנה</t>
  </si>
  <si>
    <t>השלמה מ-12</t>
  </si>
  <si>
    <t>ל-20</t>
  </si>
  <si>
    <t>הסכום הכולל שיעמוד לרשותו של רפי לופו בתום 20 השנים הוא:</t>
  </si>
  <si>
    <t>חסכון ללא ריבית</t>
  </si>
  <si>
    <t>סכום תשלום * מס׳ תשלומים</t>
  </si>
  <si>
    <t>מפקידים הנצבר</t>
  </si>
  <si>
    <t>צריך לייצר בעד השנה השניה שלב חישוב נוסף</t>
  </si>
  <si>
    <t xml:space="preserve">כי אחריה ייעצרו / ייפסקו ה-PMTs החודשיים </t>
  </si>
  <si>
    <r>
      <t xml:space="preserve">וסכום </t>
    </r>
    <r>
      <rPr>
        <b/>
        <sz val="9"/>
        <color theme="1"/>
        <rFont val="David"/>
        <family val="2"/>
        <charset val="177"/>
      </rPr>
      <t>חודשי</t>
    </r>
  </si>
  <si>
    <t>ההפקדות חודשיות, ולכן גם הריבית חייבת להיות מומרת משנה לחודש:</t>
  </si>
  <si>
    <t xml:space="preserve">(1 + 12%)^(1/12) - 1 = </t>
  </si>
  <si>
    <r>
      <t xml:space="preserve">שנה </t>
    </r>
    <r>
      <rPr>
        <b/>
        <sz val="9"/>
        <color theme="1"/>
        <rFont val="David"/>
        <family val="2"/>
        <charset val="177"/>
      </rPr>
      <t>ראשונה</t>
    </r>
  </si>
  <si>
    <r>
      <t xml:space="preserve">שנה </t>
    </r>
    <r>
      <rPr>
        <b/>
        <sz val="9"/>
        <color theme="1"/>
        <rFont val="David"/>
        <family val="2"/>
        <charset val="177"/>
      </rPr>
      <t>שניה</t>
    </r>
  </si>
  <si>
    <t>צבירת ריבית</t>
  </si>
  <si>
    <t>לפני שינויה</t>
  </si>
  <si>
    <t>לפני סדרה נוספת</t>
  </si>
  <si>
    <r>
      <t xml:space="preserve">שנה </t>
    </r>
    <r>
      <rPr>
        <b/>
        <sz val="9"/>
        <color theme="1"/>
        <rFont val="David"/>
        <family val="2"/>
        <charset val="177"/>
      </rPr>
      <t>שלישית</t>
    </r>
  </si>
  <si>
    <t>ואחרונה</t>
  </si>
  <si>
    <t>הפקדה כל רבעון</t>
  </si>
  <si>
    <t>ההפקדות כל רבעון</t>
  </si>
  <si>
    <t>ולכן הריבית רבעונית</t>
  </si>
  <si>
    <t xml:space="preserve">(1 + 10%)^(1/4) - 1 = </t>
  </si>
  <si>
    <t xml:space="preserve">תשובה סופית לשאלה 13: הסכום הכולל שיעמוד לרשותו של חרטבוני בחלוף 8 שנים מהיום הוא 191,718 ש״ח. </t>
  </si>
  <si>
    <t>מפקיד היום</t>
  </si>
  <si>
    <t>סכום בודד</t>
  </si>
  <si>
    <t>וסדרה ל-10 שנים</t>
  </si>
  <si>
    <t>תוספת חד</t>
  </si>
  <si>
    <t>פעמית והמשך</t>
  </si>
  <si>
    <t>הפקדות</t>
  </si>
  <si>
    <t>כאשר ישנה הפרעה</t>
  </si>
  <si>
    <t>קרי תוספת סכום יחיד</t>
  </si>
  <si>
    <t>ניקח את ה-FV</t>
  </si>
  <si>
    <t>של השלב הקודם,</t>
  </si>
  <si>
    <t>נוסיף לו את הסכום החד</t>
  </si>
  <si>
    <t>פעמי שמפקידים בנוסף,</t>
  </si>
  <si>
    <t>וכל הסכום הזה יהווה PV (בסימן שלילי):</t>
  </si>
  <si>
    <t>סך הצבירה בשלב ראשון:</t>
  </si>
  <si>
    <t>והפקדנו עוד (חד פעמי):</t>
  </si>
  <si>
    <t>סך הכל הפקדה בשלב 2:</t>
  </si>
  <si>
    <t>בסימן שלילי ל-PV של שלב 2</t>
  </si>
  <si>
    <t>תשובתנו הסופית:</t>
  </si>
  <si>
    <t>הסכום הכולל</t>
  </si>
  <si>
    <t>אשר יצטבר</t>
  </si>
  <si>
    <t>לפרופ׳ שביט בחסכון</t>
  </si>
  <si>
    <t>הוא כ-5,230,643 ש״ח.</t>
  </si>
  <si>
    <t>המרת הריבית משנה לחודש:</t>
  </si>
  <si>
    <t>((1+12%)^(1/12)-1)*100</t>
  </si>
  <si>
    <t>PV=-200,000</t>
  </si>
  <si>
    <t>FV = ?</t>
  </si>
  <si>
    <t>pmt = -4,000</t>
  </si>
  <si>
    <t>שינוי ריבית</t>
  </si>
  <si>
    <t>ראשונות</t>
  </si>
  <si>
    <t>סכום יחיד</t>
  </si>
  <si>
    <t>מתחילה</t>
  </si>
  <si>
    <t>סדרה</t>
  </si>
  <si>
    <t>pmt=0</t>
  </si>
  <si>
    <t>שנה מתום 2</t>
  </si>
  <si>
    <t>לתום 3</t>
  </si>
  <si>
    <r>
      <t xml:space="preserve">סדרה </t>
    </r>
    <r>
      <rPr>
        <b/>
        <sz val="9"/>
        <color theme="1"/>
        <rFont val="David"/>
        <family val="2"/>
        <charset val="177"/>
      </rPr>
      <t>רבעונית</t>
    </r>
    <r>
      <rPr>
        <sz val="9"/>
        <color theme="1"/>
        <rFont val="David"/>
        <family val="2"/>
        <charset val="177"/>
      </rPr>
      <t xml:space="preserve"> במשך</t>
    </r>
  </si>
  <si>
    <t>תוספת</t>
  </si>
  <si>
    <t xml:space="preserve">חד פעמית </t>
  </si>
  <si>
    <t>והמשך סדרה לתום 4</t>
  </si>
  <si>
    <t>התחשבות</t>
  </si>
  <si>
    <t>בשינוי הריבית</t>
  </si>
  <si>
    <t>שנים 5,6,7</t>
  </si>
  <si>
    <t>והמשך שנים 8,9,10</t>
  </si>
  <si>
    <t xml:space="preserve">מסקנה: סך הצבירה לתום השנה ה-10: 804,128 ש״ח. </t>
  </si>
  <si>
    <t>הפקדות כל</t>
  </si>
  <si>
    <t>חודש - שנה</t>
  </si>
  <si>
    <t xml:space="preserve">הפקדה כל </t>
  </si>
  <si>
    <t>חודש, שנתיים</t>
  </si>
  <si>
    <t>מתום 3 עד 5</t>
  </si>
  <si>
    <t>הסכום הכולל שיעמוד לרשותה</t>
  </si>
  <si>
    <t>של קוקילידה בתום השנה ה-5</t>
  </si>
  <si>
    <t xml:space="preserve">הוא: 228,168 ש״ח. </t>
  </si>
  <si>
    <t>שאלה זו דורשת מאיתנו את %I ולא את ה-FV, כמו כן, יש לוודא לאיזו תקופה ה-%I כי ביקשו שנבטא אותו במונחים שנתיים.</t>
  </si>
  <si>
    <t>&gt;&gt;&gt;&gt;&gt;&gt;&gt;&gt;</t>
  </si>
  <si>
    <t>ריבית שמחלצים מנתוני סדרה היא ריבית לתקופת תשלום</t>
  </si>
  <si>
    <t>בסדרה. כאן נתון שמפקידים כל חודש, לכן תוצאת</t>
  </si>
  <si>
    <t xml:space="preserve">הריבית חודשית. </t>
  </si>
  <si>
    <t>כדי להמיר אותה לשנה בהתאם לנדרש:</t>
  </si>
  <si>
    <t xml:space="preserve">(1 + 2.7599%)^12 - 1 = </t>
  </si>
  <si>
    <t xml:space="preserve">כפתיקאס הפקיד לתוכנית חסכון הנושאת ריבית שנתית בשיעור 38.64%. </t>
  </si>
  <si>
    <t xml:space="preserve">במונחים שנתיים = ריבית לשנה. </t>
  </si>
  <si>
    <t>חלק ב של המפגש - המשך יישומי ערך נוכחי</t>
  </si>
  <si>
    <t>במפגש הקודם התחלנו לבצע יישומי ערך נוכחי.</t>
  </si>
  <si>
    <t>בגדול - המשמעות היא - כיצד חישובי ערך נוכחי וחילוצים כאשר הערך הנוכחי נתון מסייעים לפתור בעיות כלכליות.</t>
  </si>
  <si>
    <t>נבצע בתור התחלה מיפוי של סוגי הבעיות והיישומים שהצגנו:</t>
  </si>
  <si>
    <t>מקרה</t>
  </si>
  <si>
    <t>תיאור</t>
  </si>
  <si>
    <t>יישום</t>
  </si>
  <si>
    <t>חישוב החזר תקופתי בהלוואת שפיצר (החזרים שווים)</t>
  </si>
  <si>
    <t>ה-PV הוא סכום ההלוואה, ומחלצים PMT</t>
  </si>
  <si>
    <t>חישוב החזר תקופתי בשפיצר, עם החזר חד פעמי נוסף בסוף</t>
  </si>
  <si>
    <t>ה-PV הוא סכום ההלוואה,ה-FV  הוא התשלום בסוף, ומחלצים PMT</t>
  </si>
  <si>
    <t>חילוץ ריבית שמסתתרת בהסדר תשלומים לרכישת מוצר</t>
  </si>
  <si>
    <t>ה-PV הוא שווי המוצר, בניכוי הנחת מזומן, ה-PMT נתון, מחלצים ריבית</t>
  </si>
  <si>
    <t>כעת, נבצע מספר יישומים נוספים:</t>
  </si>
  <si>
    <t xml:space="preserve">יוסי זקוק למכונה לחימום נקניק לעסק. </t>
  </si>
  <si>
    <t xml:space="preserve">המכונה תשרת אותו במשך 5 שנים. </t>
  </si>
  <si>
    <t>באפשרותו לרכוש את המכונה ולשלם בעדה ב-20 תשלומים חודשיים שווים בסך 2,000 ש״ח כל אחד.</t>
  </si>
  <si>
    <t xml:space="preserve">לחילופין, הוא יכול לשכור את המכונה ל-5 שנים בתמורה לתשלומים חודשיים שווים לאורך כל תקופת ההסדר - </t>
  </si>
  <si>
    <t xml:space="preserve">כלומר 60 תשלומים - בסך 800 ש״ח כל אחד. </t>
  </si>
  <si>
    <t>נדרש: בהנחה שהריבית של יוסי בעסק היא 12.6825% לשנה, מהי החלופה שאותה יעדיף יוסי לשם מימון המכונה?</t>
  </si>
  <si>
    <t>כאשר אנו יכולים לבחור בין חלופות לרכישת מוצר, עלינו להעדיף את החלופה הזולה יותר.</t>
  </si>
  <si>
    <t>החלופה הזולה יותר - בהתחשב בהשפעות ריבית וזמן - זו החלופה שבה הערך הנוכחי נמוך יותר.</t>
  </si>
  <si>
    <t>רכש מכונה</t>
  </si>
  <si>
    <t>שכירות מכונה</t>
  </si>
  <si>
    <t>המסקנה: מבחינה פיננסית טהורה - עדיף לשכור מכונה מאשר לרכוש אותה.</t>
  </si>
  <si>
    <t xml:space="preserve">שכירות מכונה עולה במונחים של ערך נוכחי כ-35,964 ש״ח, וזה יותר זול מאשר לקנות אותה בערך נוכחי של 36,091 ש״ח.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</si>
  <si>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=((1+12.6825%)^(1/12)-1)*100</t>
    </r>
  </si>
  <si>
    <t>יישום 4 - בחירה בין חלופות לרכישת מוצר על בסיס הערך הנוכחי - ״לפי ה-PV הנמוך״</t>
  </si>
  <si>
    <t>יישום 4 - שאלה נוספת -  בחירה בין חלופות למכירת מוצר / מתן שירות על בסיס הערך הנוכחי -</t>
  </si>
  <si>
    <t xml:space="preserve">עידו שוקל לספק שירותי חימום נקניק למרכז האקדמי למשפט ועסקים ברמת גן. </t>
  </si>
  <si>
    <t>המרכז האקדמי הציע לעידו לבחור בחלופת קבלת ההכנסות מבחינתו:</t>
  </si>
  <si>
    <t xml:space="preserve">חלופה 1: לקבל 4,000 ש״ח בתום כל חודש במשך 3 שנים. </t>
  </si>
  <si>
    <t xml:space="preserve">חלופה 2: לקבל 2,000 ש״ח בתום כל חודש במשך 6.5 שנים. </t>
  </si>
  <si>
    <t xml:space="preserve">חלופה 3: לקבל 100,000 ש״ח בעוד שנה. </t>
  </si>
  <si>
    <t>נדרש: בהנחה שהריבית החודשית של עידו היא 0.5%, איזו חלופה הוא יעדיף?</t>
  </si>
  <si>
    <t>גם הפעם, צריך לחשב ערך נוכחי לכל חלופה.</t>
  </si>
  <si>
    <t>אבל הואיל ואלו חלופות שמקבלים, ולא משלמים - רוצים את הערך הגבוה ביותר (בערך מוחלט), ולא את הערך</t>
  </si>
  <si>
    <t xml:space="preserve">הנמוך ביותר. </t>
  </si>
  <si>
    <t>שש וחצי שנים</t>
  </si>
  <si>
    <t>סכום עוד שנה</t>
  </si>
  <si>
    <t>חלופה 1</t>
  </si>
  <si>
    <t>חלופה 2</t>
  </si>
  <si>
    <t>חלופה 3</t>
  </si>
  <si>
    <t xml:space="preserve"> התוצאה אמנם מתקבלת בערך שלילי</t>
  </si>
  <si>
    <t>כי המחשבון הפיננסי מפרש זאת בתור ״הסכום ששווה לשלם בעד העסקה״</t>
  </si>
  <si>
    <t>אבל בתכל׳ס, זה ערך חיובי</t>
  </si>
  <si>
    <t>כלומר נתבסס על הערך מוחלט לדירוג החלופות</t>
  </si>
  <si>
    <t>שווי חלופה 1 (ערך מוחלט):</t>
  </si>
  <si>
    <t>שווי חלופה 2 (ערך מוחלט):</t>
  </si>
  <si>
    <t>שווי חלופה 3 (ערך מוחלט):</t>
  </si>
  <si>
    <t>יישום מס׳ 5 - תכנון פיננסי - הבסיס ל״חופש כלכלי״</t>
  </si>
  <si>
    <t>במקרים רבים, המטרה היא לחסוך לעתיד (FV) מתוך מטרה למשוך סדרת תשלומים ולא סכום אחד.</t>
  </si>
  <si>
    <t xml:space="preserve">למשל בפנסיה - אני מפריש כל חודש, ואת הכסף אקבל בתשלומים. </t>
  </si>
  <si>
    <t>במקרים רבים, תעניין אותנו השאלה - כמה צריך לחסוך כל חודש, כדי להבטיח לעצמנו קצבה / הכנסה</t>
  </si>
  <si>
    <t xml:space="preserve">קבועה מספקת בעתיד. </t>
  </si>
  <si>
    <t xml:space="preserve">בכך עוסק הנושא של תכנון פיננסי. </t>
  </si>
  <si>
    <t>נסח השאלה:</t>
  </si>
  <si>
    <t xml:space="preserve">עידו בן 22 היום. בכוונתו להפקיד בתום כל חודש סכום קבוע כאשר ההפקדה האחרונה תבוצע כשיהיה בן 45. </t>
  </si>
  <si>
    <t xml:space="preserve">לאחר מכן, בתום כל חודש, ועד גיל 120 ברצונו למשוך סכום קבוע של 15,000 ש״ח לחודש. </t>
  </si>
  <si>
    <t>בהנחה שהריבית החודשית בהפקדות של עידו (בפנסיה) היא 0.8% לחודש, מהו הסכום החודשי שיאפשר לעידו</t>
  </si>
  <si>
    <t>להגשים את חלומו?</t>
  </si>
  <si>
    <t>גיל 22</t>
  </si>
  <si>
    <t>גיל 45</t>
  </si>
  <si>
    <t>גיל 120</t>
  </si>
  <si>
    <t>תשובה סופית</t>
  </si>
  <si>
    <t>נחזק זאת במפגש הבא, אבל בינתיים בואו נסדר את תהליך העבודה:</t>
  </si>
  <si>
    <t xml:space="preserve">חישבנו PV לסכומי ההכנסה. כך קיבלנו את הסכום שצריך להצטבר ערב הפרישה. </t>
  </si>
  <si>
    <t xml:space="preserve">עברנו לחישוב של ההפקדות, ה-PV הפך ל-FV (בסימן הפוך) וחילצנו את סכום ההפקדה החודשי הנדרש. </t>
  </si>
  <si>
    <t>מפגש 8 - יסודות המימון א - חישובי ריבית</t>
  </si>
  <si>
    <t xml:space="preserve">עד כה, ברוב העסקאות שביצענו הריבית היתה נתונה. אולי היינו צריכים להתאים אותה - משנה לחודש וכיו״ב, </t>
  </si>
  <si>
    <t xml:space="preserve">אך ברוב המקרים קיבלתי את נתוניה כחלק מהעסקה. </t>
  </si>
  <si>
    <t>אם הנתונים בעסקה הם נתונים מורכבים, כוללים ריבית דריבית, כוללים עמלות, כוללים ריבית מראש, איך נצליח</t>
  </si>
  <si>
    <t>להתייחס לכל הנתונים האלו והשפעתם על הריבית הכוללת בעסקה?</t>
  </si>
  <si>
    <t>המושג: ריבית אפקטיבית</t>
  </si>
  <si>
    <t>באופן כללי - ריבית אפקטיבית היא הריבית ה״אמיתית״ או ה״כוללת״ בעסקה.</t>
  </si>
  <si>
    <t>הריבית בעסקה - היא לפחות בעסקאות פשוטות - היחס שבין סכום הריבית (בש״ח) לבין קרן ההשקעה</t>
  </si>
  <si>
    <t>או ההלוואה.</t>
  </si>
  <si>
    <t>למה הכוונה? אם למשל לקחתי הלוואה של 100 ש״ח לשנה. ובחלוף שנה אני מחזיר 112 ש״ח.</t>
  </si>
  <si>
    <t>מה תהיה הריבית באחוזים לשנה בעסקה הזו? התשובה: 12%. מדוע? הריבית 12 ש״ח (אתה מחזיר 12 מעל הקרן)</t>
  </si>
  <si>
    <t xml:space="preserve">ואם אתה מחלק את הריבית הזו בקרן אתה מקבל את הריבית באחוזים 12% = 100 / 12. </t>
  </si>
  <si>
    <t>כוללת</t>
  </si>
  <si>
    <t>אמיתית</t>
  </si>
  <si>
    <t>כולל כל ההשפעות</t>
  </si>
  <si>
    <r>
      <t xml:space="preserve">ריבית </t>
    </r>
    <r>
      <rPr>
        <b/>
        <sz val="12"/>
        <color theme="1"/>
        <rFont val="David"/>
        <family val="2"/>
        <charset val="177"/>
      </rPr>
      <t>אפקטיבית</t>
    </r>
  </si>
  <si>
    <t>המקרה הראשון - חישוב ריבית אפקטיבית כאשר הריבית הנקובה נתונה והיא מחושבת כריבית דריבית</t>
  </si>
  <si>
    <t>בשלב זה נתעלם מריביות מראש ועמלות.</t>
  </si>
  <si>
    <t xml:space="preserve">הסבר קצר: ריבית דריבית היא חישוב שבמסגרתו עוצרים במהלך התקופה, מוסיפים את הריבית שנצברה לקרן, ועל </t>
  </si>
  <si>
    <t xml:space="preserve">הסכום הכולל עם הריבית - מחשבים ריבית בתקופות הבאות. </t>
  </si>
  <si>
    <t>משה הפקיד בפקדון סכום של 100 ש״ח לשנה.</t>
  </si>
  <si>
    <t xml:space="preserve">א. מהו הסכום הכולל שמשה יקבל בתום השנה. </t>
  </si>
  <si>
    <t>ב. מהי הריבית האפקטיבית השנתית.</t>
  </si>
  <si>
    <t>בחישובי ריבית אפקטיבית, בדרך כלל נעבוד
מתמטית ולא במחשבון פיננסי, אלא אם זו סדרה</t>
  </si>
  <si>
    <t>הפקדה</t>
  </si>
  <si>
    <t>כאשר:</t>
  </si>
  <si>
    <t>ריבית חוזית (Contract)</t>
  </si>
  <si>
    <t>נקראת גם ריבית נקובה</t>
  </si>
  <si>
    <r>
      <t xml:space="preserve">הריבית השנתית הנקובה היא 10%, והיא </t>
    </r>
    <r>
      <rPr>
        <b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 xml:space="preserve">. </t>
    </r>
  </si>
  <si>
    <t>שנה</t>
  </si>
  <si>
    <t xml:space="preserve">הואיל ונתון שהריבית מחושבת כל רבעון, אחרי רבעון אחד עוצרים, ומוסיפים לקרן ההשקעה 100 את הריבית היחסית </t>
  </si>
  <si>
    <t>שנצברה עבור הרבעון: 2.5% = 4 / 10%</t>
  </si>
  <si>
    <t xml:space="preserve">אחרי רבעון נוסף (בתום הרבעון השני, מוצג על הציר - תום חצי שנה) - כל הסכום שנצבר בתום הרבעון הראשון </t>
  </si>
  <si>
    <t>צובר ריבית תקופה נוספת:</t>
  </si>
  <si>
    <r>
      <t xml:space="preserve">בחלוף רבעון אחד כזה הסכום הכולל שנצבר כולל את כל הקרן 100 בתוספת הריבית, ובחישוב מתמטי: </t>
    </r>
    <r>
      <rPr>
        <sz val="12"/>
        <color rgb="FFFF0000"/>
        <rFont val="David"/>
        <family val="2"/>
        <charset val="177"/>
      </rPr>
      <t>(2.5% + 1) * 100</t>
    </r>
  </si>
  <si>
    <r>
      <rPr>
        <sz val="12"/>
        <color rgb="FFFF0000"/>
        <rFont val="David"/>
        <family val="2"/>
        <charset val="177"/>
      </rPr>
      <t>100 * (1 + 2.5%)</t>
    </r>
    <r>
      <rPr>
        <sz val="12"/>
        <color theme="1"/>
        <rFont val="David"/>
        <family val="2"/>
        <charset val="177"/>
      </rPr>
      <t xml:space="preserve"> * (1 + 2.5%) = 100 * (1 + 2.5%)^2</t>
    </r>
  </si>
  <si>
    <t>התהליך הזה, של מכפלה נוספת ב-1 ועוד הריבית על כל תקופה שחולפת, לפי הריבית היחסית, הוא התהליך שנובע</t>
  </si>
  <si>
    <t xml:space="preserve">מחישוב ריבית דריבית. </t>
  </si>
  <si>
    <t>בתום השנה (בתום 4 תקופות חישוב ריבית של רבעון) הסכום הכולל שנצבר:</t>
  </si>
  <si>
    <t xml:space="preserve">100 * (1 + 2.5%)^4 = </t>
  </si>
  <si>
    <t>ולכן לסיכום:</t>
  </si>
  <si>
    <t>אקבל</t>
  </si>
  <si>
    <t>הפקדתי</t>
  </si>
  <si>
    <t>ריבית ש״ח</t>
  </si>
  <si>
    <t xml:space="preserve">110.3812891 - 100 = </t>
  </si>
  <si>
    <t>הריבית האפקטיבית בעסקאות פשוטות היא היחס בין הריבית בש״ח לקרן:</t>
  </si>
  <si>
    <t xml:space="preserve">10.3812891 / 100 = </t>
  </si>
  <si>
    <t>דרך נוספת לחשב ריבית אפקטיבית זו היא על בסיס - היחס בין סך התקבול לסך התשלום (קרן) פחות 1:</t>
  </si>
  <si>
    <t>דרך קיצור לפתרון שאלה כזו, ללא ציר שמתוכה נדע לחלץ את הנוסחה:</t>
  </si>
  <si>
    <t>הריבית האפקטיבית</t>
  </si>
  <si>
    <t>קרן, שצברה ריבית דריבית</t>
  </si>
  <si>
    <t xml:space="preserve">צבירת ריבית דריבית </t>
  </si>
  <si>
    <t>במשך 4 רבעונים</t>
  </si>
  <si>
    <t>נוריד מהסכום הכולל שנצבר</t>
  </si>
  <si>
    <t>את הקרן</t>
  </si>
  <si>
    <t>חלקי הקרן</t>
  </si>
  <si>
    <t>הנוסחה למעלה היא כזו שניתן לצמצם</t>
  </si>
  <si>
    <t>את כל הקרן מאגפיה</t>
  </si>
  <si>
    <t>וכך מקבלים:</t>
  </si>
  <si>
    <t>וכאשר נרצה להכליל את הנוסחה ולייצר מבנה עקבי לעבוד לפיו:</t>
  </si>
  <si>
    <t>ריבית אפקטיבית (effective) / כוללת שאותה רוצים לחשב</t>
  </si>
  <si>
    <t>ריבית נקובה / חוזית (contract) בהסכם</t>
  </si>
  <si>
    <t>מספר תקופות החישוב (number) בתקופת הריבית הנקובה (contract)</t>
  </si>
  <si>
    <t>מספר תקופות החישוב (number) בתקופה הכוללת הנדרשת (required)</t>
  </si>
  <si>
    <t>הנדרש</t>
  </si>
  <si>
    <t>הנתון, במונה</t>
  </si>
  <si>
    <t>כמה תקופות חישוב (רבעונים)</t>
  </si>
  <si>
    <t>קיימים בתקופת הריבית הנקובה השנתית?</t>
  </si>
  <si>
    <t>התשובה: 4</t>
  </si>
  <si>
    <t>קיימים בתקופת הריבית הנדרשת</t>
  </si>
  <si>
    <t>כאן דרשו ריבית לשנה, לכן - 4 רבעונים בשנה</t>
  </si>
  <si>
    <t>תרגיל 1 - ריבית דריבית - מוארך למטרות הסבר</t>
  </si>
  <si>
    <t>תרגיל 2 - ריבית דריבית</t>
  </si>
  <si>
    <t>חשבו את הריבית האפקטיבית בכל אחד מהמקרים הבאים:</t>
  </si>
  <si>
    <t>א. מהי הריבית האפקטיבית לשנה, אם הריבית הנקובה השנתית 12% מחושבת כל חודש?</t>
  </si>
  <si>
    <t>re = (1 + 12%/12)^12 - 1 = 12.6825%</t>
  </si>
  <si>
    <r>
      <t xml:space="preserve">ב. מהי </t>
    </r>
    <r>
      <rPr>
        <sz val="12"/>
        <color rgb="FFFF0000"/>
        <rFont val="David"/>
        <family val="2"/>
        <charset val="177"/>
      </rPr>
      <t>הריבית האפקטיבית לשנתיים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12%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?</t>
    </r>
  </si>
  <si>
    <t xml:space="preserve">re = (1 + 12%/12)^24 - 1 = </t>
  </si>
  <si>
    <r>
      <t xml:space="preserve">ג. מהי </t>
    </r>
    <r>
      <rPr>
        <sz val="12"/>
        <color rgb="FFFF0000"/>
        <rFont val="David"/>
        <family val="2"/>
        <charset val="177"/>
      </rPr>
      <t>הריבית האפקטיבית לשנה וחצי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10%, </t>
    </r>
    <r>
      <rPr>
        <u/>
        <sz val="12"/>
        <color rgb="FFFF0000"/>
        <rFont val="David"/>
        <family val="2"/>
        <charset val="177"/>
      </rPr>
      <t>מחושבת כל חצי שנה</t>
    </r>
    <r>
      <rPr>
        <sz val="12"/>
        <color theme="1"/>
        <rFont val="David"/>
        <family val="2"/>
        <charset val="177"/>
      </rPr>
      <t>?</t>
    </r>
  </si>
  <si>
    <r>
      <t xml:space="preserve">ד. מהי </t>
    </r>
    <r>
      <rPr>
        <sz val="12"/>
        <color rgb="FFFF0000"/>
        <rFont val="David"/>
        <family val="2"/>
        <charset val="177"/>
      </rPr>
      <t>הריבית האפקטיבית לשנה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החצי שנתית הנקובה</t>
    </r>
    <r>
      <rPr>
        <sz val="12"/>
        <color theme="1"/>
        <rFont val="David"/>
        <family val="2"/>
        <charset val="177"/>
      </rPr>
      <t xml:space="preserve"> 6% </t>
    </r>
    <r>
      <rPr>
        <u/>
        <sz val="12"/>
        <color rgb="FFFF0000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</t>
    </r>
  </si>
  <si>
    <r>
      <t xml:space="preserve">ה. מהי </t>
    </r>
    <r>
      <rPr>
        <sz val="12"/>
        <color rgb="FFFF0000"/>
        <rFont val="David"/>
        <family val="2"/>
        <charset val="177"/>
      </rPr>
      <t>הריבית האפקטיבית ל-3 שנים</t>
    </r>
    <r>
      <rPr>
        <sz val="12"/>
        <color theme="1"/>
        <rFont val="David"/>
        <family val="2"/>
        <charset val="177"/>
      </rPr>
      <t xml:space="preserve">, אם </t>
    </r>
    <r>
      <rPr>
        <u/>
        <sz val="12"/>
        <color theme="1"/>
        <rFont val="David"/>
        <family val="2"/>
        <charset val="177"/>
      </rPr>
      <t>הריבית הרבעונית הנקובה</t>
    </r>
    <r>
      <rPr>
        <sz val="12"/>
        <color theme="1"/>
        <rFont val="David"/>
        <family val="2"/>
        <charset val="177"/>
      </rPr>
      <t xml:space="preserve"> 3%,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?</t>
    </r>
  </si>
  <si>
    <t xml:space="preserve">re = (1 + 3%/3)^36 - 1 = </t>
  </si>
  <si>
    <t xml:space="preserve">re = (1 + 6%/2)^4 - 1 = </t>
  </si>
  <si>
    <t xml:space="preserve">re = (1 + 10%/2)^3 - 1 = </t>
  </si>
  <si>
    <t>תרגיל 3 - תרגול כיתה עצמאי בנושא ריבית דריבית</t>
  </si>
  <si>
    <t>עידו מתלבט בין תוכניות החסכון הבאות:</t>
  </si>
  <si>
    <t>נדרש: חשבו את הריבית האפקטיבית הכוללת בכל אחת מתוכניות החסכון (בתכנית א - ריבית אפקטיבית לשנה,</t>
  </si>
  <si>
    <t xml:space="preserve">בתכנית ב - ריבית אפקטיבית ל-8 חודשים, וכן הלאה). </t>
  </si>
  <si>
    <t>תרגיל 4 - ברמת מבחן בנושא ריבית דריבית</t>
  </si>
  <si>
    <t>קוקי שוקל לקחת הלוואה ל-4 שנים. מציעים לו את מסלולי ההלוואה הבאים:</t>
  </si>
  <si>
    <r>
      <t xml:space="preserve">א. </t>
    </r>
    <r>
      <rPr>
        <sz val="12"/>
        <color rgb="FFFF0000"/>
        <rFont val="David"/>
        <family val="2"/>
        <charset val="177"/>
      </rPr>
      <t>הפקדה לשנה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10%, </t>
    </r>
    <r>
      <rPr>
        <u/>
        <sz val="12"/>
        <color rgb="FFFF0000"/>
        <rFont val="David"/>
        <family val="2"/>
        <charset val="177"/>
      </rPr>
      <t>המחושבת כל רבעון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</si>
  <si>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</t>
    </r>
    <r>
      <rPr>
        <sz val="12"/>
        <color rgb="FFFF0000"/>
        <rFont val="David"/>
        <family val="2"/>
        <charset val="177"/>
      </rPr>
      <t>הפקדה ל-8 חודשים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12%, </t>
    </r>
    <r>
      <rPr>
        <u/>
        <sz val="12"/>
        <color rgb="FFFF0000"/>
        <rFont val="David"/>
        <family val="2"/>
        <charset val="177"/>
      </rPr>
      <t>המחושבת כל 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</si>
  <si>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ג. </t>
    </r>
    <r>
      <rPr>
        <sz val="12"/>
        <color rgb="FFFF0000"/>
        <rFont val="David"/>
        <family val="2"/>
        <charset val="177"/>
      </rPr>
      <t>הפקדה לשנתיים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שנתית</t>
    </r>
    <r>
      <rPr>
        <sz val="12"/>
        <color theme="1"/>
        <rFont val="David"/>
        <family val="2"/>
        <charset val="177"/>
      </rPr>
      <t xml:space="preserve"> 8%, </t>
    </r>
    <r>
      <rPr>
        <u/>
        <sz val="12"/>
        <color rgb="FFFF0000"/>
        <rFont val="David"/>
        <family val="2"/>
        <charset val="177"/>
      </rPr>
      <t>המחושבת כל רבעון</t>
    </r>
    <r>
      <rPr>
        <sz val="12"/>
        <color theme="1"/>
        <rFont val="David"/>
        <family val="2"/>
        <charset val="177"/>
      </rPr>
      <t>.</t>
    </r>
  </si>
  <si>
    <t xml:space="preserve">(1 + 10%/4)^4 - 1 = </t>
  </si>
  <si>
    <t xml:space="preserve">(1 + 12%/12)^8 - 1 = </t>
  </si>
  <si>
    <t xml:space="preserve">(1 + 8%/4)^8 - 1 = </t>
  </si>
  <si>
    <r>
      <t xml:space="preserve">ד. </t>
    </r>
    <r>
      <rPr>
        <sz val="12"/>
        <color rgb="FFFF0000"/>
        <rFont val="David"/>
        <family val="2"/>
        <charset val="177"/>
      </rPr>
      <t>הפקדה ל-4 שנים</t>
    </r>
    <r>
      <rPr>
        <sz val="12"/>
        <color theme="1"/>
        <rFont val="David"/>
        <family val="2"/>
        <charset val="177"/>
      </rPr>
      <t xml:space="preserve">, </t>
    </r>
    <r>
      <rPr>
        <u/>
        <sz val="12"/>
        <color theme="1"/>
        <rFont val="David"/>
        <family val="2"/>
        <charset val="177"/>
      </rPr>
      <t>בריבית נקובה חצי שנתית</t>
    </r>
    <r>
      <rPr>
        <sz val="12"/>
        <color theme="1"/>
        <rFont val="David"/>
        <family val="2"/>
        <charset val="177"/>
      </rPr>
      <t xml:space="preserve"> של 6%, </t>
    </r>
    <r>
      <rPr>
        <u/>
        <sz val="12"/>
        <color rgb="FFFF0000"/>
        <rFont val="David"/>
        <family val="2"/>
        <charset val="177"/>
      </rPr>
      <t>המחושבת כל חודשיים</t>
    </r>
  </si>
  <si>
    <t xml:space="preserve">(1 + 6%/3)^24 - 1 = </t>
  </si>
  <si>
    <t>לגבי סעיף ד, מדוע חילקנו ב-0.5? כי המטרה היא לשאול: כמה ״חצאים״ נכנסים ב״רבע״. התשובה היא</t>
  </si>
  <si>
    <t xml:space="preserve">שצריך מחצית מה-0.5, כדי להגיע לרבעון. </t>
  </si>
  <si>
    <t>או, למי שזה יותר קל לו, אפשר לכפול 3% ב-2, שזה כמו לחלק ב-0.5.</t>
  </si>
  <si>
    <r>
      <t xml:space="preserve">נדרש: </t>
    </r>
    <r>
      <rPr>
        <b/>
        <sz val="12"/>
        <color theme="1"/>
        <rFont val="David"/>
        <family val="2"/>
        <charset val="177"/>
      </rPr>
      <t xml:space="preserve">מהי </t>
    </r>
    <r>
      <rPr>
        <b/>
        <sz val="12"/>
        <color rgb="FFFF0000"/>
        <rFont val="David"/>
        <family val="2"/>
        <charset val="177"/>
      </rPr>
      <t>הריבית האפקטיבית השנתית</t>
    </r>
    <r>
      <rPr>
        <b/>
        <sz val="12"/>
        <color theme="1"/>
        <rFont val="David"/>
        <family val="2"/>
        <charset val="177"/>
      </rPr>
      <t xml:space="preserve"> בחלופה שיעדיף קוקי</t>
    </r>
    <r>
      <rPr>
        <sz val="12"/>
        <color theme="1"/>
        <rFont val="David"/>
        <family val="2"/>
        <charset val="177"/>
      </rPr>
      <t>?</t>
    </r>
  </si>
  <si>
    <r>
      <t xml:space="preserve">א. הלוואה בריבית שנתית נקובה של 10%, </t>
    </r>
    <r>
      <rPr>
        <u/>
        <sz val="12"/>
        <color rgb="FFFF0000"/>
        <rFont val="David"/>
        <family val="2"/>
        <charset val="177"/>
      </rPr>
      <t>מחושבת 4 פעמים בשנה (=כל רבעון)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</si>
  <si>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ב. הלוואה בריבית שנתית נקובה של 11%, </t>
    </r>
    <r>
      <rPr>
        <u/>
        <sz val="12"/>
        <color rgb="FFFF0000"/>
        <rFont val="David"/>
        <family val="2"/>
        <charset val="177"/>
      </rPr>
      <t>מחושבת פעם בשנה</t>
    </r>
    <r>
      <rPr>
        <sz val="12"/>
        <color theme="1"/>
        <rFont val="David"/>
        <family val="2"/>
        <charset val="177"/>
      </rPr>
      <t>.</t>
    </r>
  </si>
  <si>
    <t xml:space="preserve">(1 + 11%/1)^1 - 1 = </t>
  </si>
  <si>
    <r>
      <t xml:space="preserve">ג. הלוואה בריבית </t>
    </r>
    <r>
      <rPr>
        <u/>
        <sz val="12"/>
        <color theme="1"/>
        <rFont val="David"/>
        <family val="2"/>
        <charset val="177"/>
      </rPr>
      <t>חצי שנתית נקובה של 6%,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>.</t>
    </r>
  </si>
  <si>
    <t xml:space="preserve">(1 + 6%/6)^12 - 1 = </t>
  </si>
  <si>
    <r>
      <t xml:space="preserve">ד. הלוואה </t>
    </r>
    <r>
      <rPr>
        <u/>
        <sz val="12"/>
        <color theme="1"/>
        <rFont val="David"/>
        <family val="2"/>
        <charset val="177"/>
      </rPr>
      <t>בריבית רבעונית נקובה</t>
    </r>
    <r>
      <rPr>
        <sz val="12"/>
        <color theme="1"/>
        <rFont val="David"/>
        <family val="2"/>
        <charset val="177"/>
      </rPr>
      <t xml:space="preserve"> של 3%, מחושבת כל </t>
    </r>
    <r>
      <rPr>
        <u/>
        <sz val="12"/>
        <color rgb="FFFF0000"/>
        <rFont val="David"/>
        <family val="2"/>
        <charset val="177"/>
      </rPr>
      <t>חצי שנה</t>
    </r>
    <r>
      <rPr>
        <sz val="12"/>
        <color rgb="FFFF0000"/>
        <rFont val="David"/>
        <family val="2"/>
        <charset val="177"/>
      </rPr>
      <t xml:space="preserve">. </t>
    </r>
  </si>
  <si>
    <t xml:space="preserve">(1 + 3%/0.5)^2 - 1 = </t>
  </si>
  <si>
    <t>היא הנמוכה ביותר, כלומר את חלופה א במקרה זה.</t>
  </si>
  <si>
    <t>והתשובה הסופית שלנו: הואיל ומדובר בהלוואה, קוקי יעדיף את החלופה שבה הריבית השנתית האפקטיבית</t>
  </si>
  <si>
    <t>תרגיל 5 - ברמת מבחן בנושא ריבית דריבית</t>
  </si>
  <si>
    <t xml:space="preserve">שמס מכרה את העסק לחימום נקניק והיא מעוניינת להפקיד את הסכום בפקדון ל-3 שנים. </t>
  </si>
  <si>
    <t>הבנק הציע לה את האפשרויות הבאות:</t>
  </si>
  <si>
    <r>
      <t xml:space="preserve">א. </t>
    </r>
    <r>
      <rPr>
        <u/>
        <sz val="12"/>
        <color theme="1"/>
        <rFont val="David"/>
        <family val="2"/>
        <charset val="177"/>
      </rPr>
      <t>ריבית נקובה שנתית</t>
    </r>
    <r>
      <rPr>
        <sz val="12"/>
        <color theme="1"/>
        <rFont val="David"/>
        <family val="2"/>
        <charset val="177"/>
      </rPr>
      <t xml:space="preserve"> בשיעור 8%, </t>
    </r>
    <r>
      <rPr>
        <u/>
        <sz val="12"/>
        <color rgb="FFFF0000"/>
        <rFont val="David"/>
        <family val="2"/>
        <charset val="177"/>
      </rPr>
      <t>מחושבת כל חצי שנה</t>
    </r>
    <r>
      <rPr>
        <sz val="12"/>
        <color rgb="FFFF0000"/>
        <rFont val="David"/>
        <family val="2"/>
        <charset val="177"/>
      </rPr>
      <t>.</t>
    </r>
  </si>
  <si>
    <r>
      <t xml:space="preserve">נדרש: </t>
    </r>
    <r>
      <rPr>
        <sz val="12"/>
        <color rgb="FFFF0000"/>
        <rFont val="David"/>
        <family val="2"/>
        <charset val="177"/>
      </rPr>
      <t xml:space="preserve">מהי הריבית האפקטיבית </t>
    </r>
    <r>
      <rPr>
        <b/>
        <sz val="12"/>
        <color rgb="FFFF0000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בחלופה שתעדיף שמס?</t>
    </r>
  </si>
  <si>
    <r>
      <t xml:space="preserve">ב. </t>
    </r>
    <r>
      <rPr>
        <u/>
        <sz val="12"/>
        <color theme="1"/>
        <rFont val="David"/>
        <family val="2"/>
        <charset val="177"/>
      </rPr>
      <t>ריבית נקובה ל-3 שנים</t>
    </r>
    <r>
      <rPr>
        <sz val="12"/>
        <color theme="1"/>
        <rFont val="David"/>
        <family val="2"/>
        <charset val="177"/>
      </rPr>
      <t xml:space="preserve"> בשיעור 21%, </t>
    </r>
    <r>
      <rPr>
        <u/>
        <sz val="12"/>
        <color rgb="FFFF0000"/>
        <rFont val="David"/>
        <family val="2"/>
        <charset val="177"/>
      </rPr>
      <t>מחושבת כל 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</si>
  <si>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ג. </t>
    </r>
    <r>
      <rPr>
        <u/>
        <sz val="12"/>
        <color theme="1"/>
        <rFont val="David"/>
        <family val="2"/>
        <charset val="177"/>
      </rPr>
      <t>ריבית נקובה חצי שנתית</t>
    </r>
    <r>
      <rPr>
        <sz val="12"/>
        <color theme="1"/>
        <rFont val="David"/>
        <family val="2"/>
        <charset val="177"/>
      </rPr>
      <t xml:space="preserve"> בשיעור 4%, </t>
    </r>
    <r>
      <rPr>
        <u/>
        <sz val="12"/>
        <color rgb="FFFF0000"/>
        <rFont val="David"/>
        <family val="2"/>
        <charset val="177"/>
      </rPr>
      <t>מחושבת כל חודשיים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</si>
  <si>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ד. </t>
    </r>
    <r>
      <rPr>
        <u/>
        <sz val="12"/>
        <color theme="1"/>
        <rFont val="David"/>
        <family val="2"/>
        <charset val="177"/>
      </rPr>
      <t>ריבית נקובה לשנתיים</t>
    </r>
    <r>
      <rPr>
        <sz val="12"/>
        <color theme="1"/>
        <rFont val="David"/>
        <family val="2"/>
        <charset val="177"/>
      </rPr>
      <t xml:space="preserve"> בשיעור 15%, </t>
    </r>
    <r>
      <rPr>
        <u/>
        <sz val="12"/>
        <color rgb="FFFF0000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 xml:space="preserve">. </t>
    </r>
  </si>
  <si>
    <t xml:space="preserve">(1 + 8%/2)^2 - 1 = </t>
  </si>
  <si>
    <t xml:space="preserve">(1 + 21%/36)^12 - 1 = </t>
  </si>
  <si>
    <t xml:space="preserve">(1 + 4%/3)^6 - 1 = </t>
  </si>
  <si>
    <t xml:space="preserve">(1 + 15%/8)^4 - 1 = </t>
  </si>
  <si>
    <t>בשונה מתרגיל 4, שעסק בהלוואה ובה רצינו את הריבית הנמוכה ביותר,</t>
  </si>
  <si>
    <t>כאן מדובר בהשקעה / הפקדה - ובה נרצה את הריבית האפקטיבית הגבוהה ביותר.</t>
  </si>
  <si>
    <t xml:space="preserve">לכן, החלופה שתועדף היא חלופה ג. </t>
  </si>
  <si>
    <t xml:space="preserve">תשובה סופית: הריבית האפקטיבית השנתית בחלופה שתעדיף שמס היא 8.271%. </t>
  </si>
  <si>
    <t>הגדרנו ריבית אפקטיבית בתור הריבית ה״אמיתית״ / ״הכוללת״ בעסקה.</t>
  </si>
  <si>
    <t>הבהרנו שאם קיימת ריבית דריבית, צריך להתחשב בה בחישוב הריבית האפקטיבית.</t>
  </si>
  <si>
    <t>הצגנו את העיקרון וההיגיון שבכך (בתרגיל 1) ולאחר מכן תרגלנו את הנוסחה הכוללת.</t>
  </si>
  <si>
    <t>היה חשוב מאד שננסה להבין את ההבדל בין החלוקה למעריך החזקה, לטובת מתן ביטוי לריבית הכוללת.</t>
  </si>
  <si>
    <t>במפגש הבא, נציג את הגורם הנוסף שמשפיע על ריבית אפקטיבית - ריבית מראש ועמלות, ונסדיר את נושא הבחינה</t>
  </si>
  <si>
    <t xml:space="preserve">בהקשר לריביות באופן כללי. </t>
  </si>
  <si>
    <t>פתרון שאלות נוספות מהמטלה שלא פתרנו בכיתה אלא אני מצרף להן פתרון (נסח השאלות בקובץ המטלה):</t>
  </si>
  <si>
    <t>שאלה 1 - מטלה 1</t>
  </si>
  <si>
    <t>שאלה 2 - מטלה 1</t>
  </si>
  <si>
    <t>שאלה 3 - מטלה 1</t>
  </si>
  <si>
    <t>שאלה 4 - מטלה 1</t>
  </si>
  <si>
    <t>התשובה: 149,014</t>
  </si>
  <si>
    <t>שאלה 5 - מטלה 1</t>
  </si>
  <si>
    <t>שאלה 6 - מטלה 1</t>
  </si>
  <si>
    <t>התשובה: 73,839</t>
  </si>
  <si>
    <t>שאלה 7 - מטלה 1 - פתרון מפורט למעלה (פתרנו בשיעור)</t>
  </si>
  <si>
    <t>שאלה 8 - מטלה 1</t>
  </si>
  <si>
    <t xml:space="preserve">התשובה: כ-31.5 חודשים. </t>
  </si>
  <si>
    <t>שאלה 9 - מטלה 1 - פתרון מפורט למעלה (פתרנו בשיעור)</t>
  </si>
  <si>
    <t xml:space="preserve">שאלה 10 - מטלה 1 </t>
  </si>
  <si>
    <t xml:space="preserve">התשובה: 712,690 ש״ח </t>
  </si>
  <si>
    <t xml:space="preserve">שאלה 11 - מטלה 1 </t>
  </si>
  <si>
    <t xml:space="preserve">שהניחה 10 שנים בלבד. </t>
  </si>
  <si>
    <t>התשובה: 446,956. הערה: יש טעות כתיב בשאלה, מדובר ב-11 שנים בסך הכל ולא 10. כמובן שהתקבלה גם תשובה</t>
  </si>
  <si>
    <t>ראשית, נושאים שנותרו עד לסיום הסמסטר:</t>
  </si>
  <si>
    <t>מפגש 9</t>
  </si>
  <si>
    <t>מפגש 10</t>
  </si>
  <si>
    <t>קריטריונים לבחינת כדאיות השקעות</t>
  </si>
  <si>
    <t>מפגש 11</t>
  </si>
  <si>
    <t>שיעור ״שוטף״ אחרון</t>
  </si>
  <si>
    <t>מפגש 12</t>
  </si>
  <si>
    <t>חזרה - פתרון בחינה לדוגמא</t>
  </si>
  <si>
    <t xml:space="preserve">אינפלציה - ריבית נומינלית, ריאלית והצמדת לוחות </t>
  </si>
  <si>
    <t>מפגש 9 - יסודות המימון א - לוחות סילוקין, הלוואות ואינפלציה</t>
  </si>
  <si>
    <t>המפגש הנוכחי</t>
  </si>
  <si>
    <t>שבוע הבא</t>
  </si>
  <si>
    <t>תזרימי מזומנים (הבסיס) והצגת מבנה הבחינה ודגשים</t>
  </si>
  <si>
    <t>הנושא המרכזי של המפגש - הלוואות - בהקשר ללוחות סילוקין מפורטים, והצמדה למדד (אינפלציה)</t>
  </si>
  <si>
    <t xml:space="preserve">נתחיל מדיון לגבי ״לוחות סילוקין מפורטים״. </t>
  </si>
  <si>
    <t xml:space="preserve">לוחות סילוקין = טבלאות שעוזרות לנו לגלות בהקשר להלוואות מסוגים מסוימים - </t>
  </si>
  <si>
    <t xml:space="preserve">א. כמה מחזירים בסך הכל כל תקופה (בדרך כלל - כל חודש). </t>
  </si>
  <si>
    <t xml:space="preserve">ב. איזה חלק מההחזר הוא בגין (על חשבון) ריבית. </t>
  </si>
  <si>
    <t xml:space="preserve">ג. איזה חלק מההחזר הוא בגין (על חשבון) קרן. </t>
  </si>
  <si>
    <t>יש מגוון רחב של לוחות סילוקין, אנו נתמקד בשניים:</t>
  </si>
  <si>
    <t xml:space="preserve">א. לוח סילוקין ״רגיל״ = ״החזרי קרן שווים״. </t>
  </si>
  <si>
    <t xml:space="preserve">ב. לוח סילוקין ״שפיצר״ = ״החזרים שווים״. </t>
  </si>
  <si>
    <t>תרגיל הדגמה ראשוני - לוחות סילוקין בסיסיים - שפיצר ורגיל</t>
  </si>
  <si>
    <t xml:space="preserve">פדילה שוקל ליטול הלוואה בסך 400,000 ש״ח לתקופה של 5 שנים. </t>
  </si>
  <si>
    <t xml:space="preserve">ההלוואה תוחזר ב-5 תשלומים שנתיים. </t>
  </si>
  <si>
    <t>הריבית השנתית: 10%.</t>
  </si>
  <si>
    <t xml:space="preserve">נדרש: </t>
  </si>
  <si>
    <t>א. הציגו לוח סילוקין ״רגיל״ בגין ההלוואה.</t>
  </si>
  <si>
    <t xml:space="preserve">ב. הציגו לוח סילוקין ״שפיצר״ בגין ההלוואה. </t>
  </si>
  <si>
    <t>לוח סילוקין ״רגיל״</t>
  </si>
  <si>
    <t>מס׳ תשלום</t>
  </si>
  <si>
    <t>ע״ח קרן</t>
  </si>
  <si>
    <t>ע״ח ריבית</t>
  </si>
  <si>
    <t>לוח סילוקין ״שפיצר״</t>
  </si>
  <si>
    <t xml:space="preserve">שלב 1 לוח רגיל: </t>
  </si>
  <si>
    <t>400,000 / 5 = 80,000</t>
  </si>
  <si>
    <t>שלב 2 לוח רגיל: בגין כל תשלום, הוקטנה היתרה ב-80,000.</t>
  </si>
  <si>
    <t>שלב 3 לוח רגיל: בגין כל תשלום, הריבית היא המכפלה</t>
  </si>
  <si>
    <t>של היתרה הקודמת באחוז הריבית, למשל:</t>
  </si>
  <si>
    <t>ריבית שנה 1:</t>
  </si>
  <si>
    <t>400,000 * 10% = 40,000</t>
  </si>
  <si>
    <t>ריבית שנה 2:</t>
  </si>
  <si>
    <t>320,000 * 10% = 32,000</t>
  </si>
  <si>
    <t>שלב 1:</t>
  </si>
  <si>
    <t>Set:</t>
  </si>
  <si>
    <t>שלב 2:</t>
  </si>
  <si>
    <t>בכל תקופה - הסכום ע״ח ריבית מכפלת</t>
  </si>
  <si>
    <t>היתרה לתקופה קודמת ב-% הריבית</t>
  </si>
  <si>
    <t>שלב 3:</t>
  </si>
  <si>
    <t>התשלום ע״ח קרן הוא ה-PMT (בערך מוחלט)</t>
  </si>
  <si>
    <t>בניכוי התשלום ע״ח ריבית</t>
  </si>
  <si>
    <t>תשלום ע״ח קרן זמן 1:</t>
  </si>
  <si>
    <t>105,518.99 - 40,000 = 65,519</t>
  </si>
  <si>
    <t>יתרה (הקרן)</t>
  </si>
  <si>
    <t>היתרה (יתרת הקרן) היא לפי היתרה הקודמת, בניכוי</t>
  </si>
  <si>
    <t xml:space="preserve">התשלום ע״ח הקרן. </t>
  </si>
  <si>
    <t>תרגיל הדגמה נוסף לקיצור דרך בלוח שפיצר - שימוש בפונקציית AMRT</t>
  </si>
  <si>
    <t xml:space="preserve">שירי שוקלת לרכוש מכונה ענקית לחימום נקניק לעובדי המשרד. </t>
  </si>
  <si>
    <t xml:space="preserve">לשם כך בכוונתה ליטול הלוואה בסך 500,000 ש״ח ל-20 שנים, המסולקת בתשלומים חודשיים שווים (לוח שפיצר). </t>
  </si>
  <si>
    <t>בהנחה שהריבית החודשית 1%, נדרש:</t>
  </si>
  <si>
    <t>א. מהו התשלום החודשי הקבוע?</t>
  </si>
  <si>
    <t>ב. מהי יתרת ההלוואה בתום השנה ה-14?</t>
  </si>
  <si>
    <t>ג. מהי הריבית המשולמת בתשלום ה-127?</t>
  </si>
  <si>
    <t>ד. מהם סך תשלומי הריבית בשנה ה-8?</t>
  </si>
  <si>
    <t>מדובר בהלוואת שפיצר שכוללת מאות החזרים:</t>
  </si>
  <si>
    <t xml:space="preserve">20 * 12 = </t>
  </si>
  <si>
    <t xml:space="preserve">כמובן שלבנות טבלה עם 240 שורות כדי להציג את הלוח בשלמותו - זה לא ריאלי. </t>
  </si>
  <si>
    <t xml:space="preserve">ולכן נשתמש בקיצורי דרך במחשבון הפיננסי. </t>
  </si>
  <si>
    <t xml:space="preserve">הקיצורים בלוח שפיצר יישענו על פונקציית AMRT כפי שנגדיר עוד מעט. </t>
  </si>
  <si>
    <t>התשלום התקופתי הקבוע (חודשי, שנתי...) הוא ה-PMT. את ה-PMT מחלצים בלוח שפיצר עם CMPD:</t>
  </si>
  <si>
    <t>הלוואה מוחזרת בתשלומים חודשיים (כל חודש) במשך 20 שנה ולכן:</t>
  </si>
  <si>
    <t>שיעור הריבית החודשית הנתונה (אין צורך בהתאמה):</t>
  </si>
  <si>
    <t>סכום ההלוואה הנתון:</t>
  </si>
  <si>
    <t>ערך מחולץ - סך התשלום החודשי הקבוע:</t>
  </si>
  <si>
    <t xml:space="preserve">ניתן להפעיל רק לאחר שחולץ ה-PMT באמצעות CMPD. </t>
  </si>
  <si>
    <t>AMRT</t>
  </si>
  <si>
    <t>PM1:</t>
  </si>
  <si>
    <t>PM2:</t>
  </si>
  <si>
    <t xml:space="preserve">צריך להזין את מספר התשלום שעליו מדברים בשני המקומות הללו. </t>
  </si>
  <si>
    <t>בתום השנה ה-14 מס׳ התשלומים שבוצעו:</t>
  </si>
  <si>
    <t xml:space="preserve">14 * 12 = </t>
  </si>
  <si>
    <t>BAL</t>
  </si>
  <si>
    <t>גוללים עד שמגיעים ל-BAL מלשון BALANCE כלומר יתרה</t>
  </si>
  <si>
    <r>
      <t xml:space="preserve">הדרך המהירה ביותר לחשב יתרת הלוואה למועד מסוים היא על ידי פונקציית </t>
    </r>
    <r>
      <rPr>
        <b/>
        <sz val="12"/>
        <color theme="1"/>
        <rFont val="David"/>
        <family val="2"/>
        <charset val="177"/>
      </rPr>
      <t>AMRT</t>
    </r>
    <r>
      <rPr>
        <sz val="12"/>
        <color theme="1"/>
        <rFont val="David"/>
        <family val="2"/>
        <charset val="177"/>
      </rPr>
      <t>. את הפונקציה הזו</t>
    </r>
  </si>
  <si>
    <t>INT</t>
  </si>
  <si>
    <t>מספר התשלום הספציפי שעליו שואלים - הפעם נתון:</t>
  </si>
  <si>
    <t>גוללים עד שמגיעים ל-INT מלשון Interest כלומר תשלום ריבית</t>
  </si>
  <si>
    <t>סך תשלומי הריבית בשנה ה-8:</t>
  </si>
  <si>
    <t>סוף שנה 7:</t>
  </si>
  <si>
    <t>סוף שנה 8:</t>
  </si>
  <si>
    <t>אני מתעניין בתשלומי הריבית מזמן 85 (החודש הראשון של שנה 8)</t>
  </si>
  <si>
    <t>עד לזמן 96 (החודש האחרון של שנה 8).</t>
  </si>
  <si>
    <t xml:space="preserve">הסימון </t>
  </si>
  <si>
    <t xml:space="preserve">מסמל את סיכום (סיגמא = סיכום = ∑) של תשלומי הריבית בטווח הנדון. </t>
  </si>
  <si>
    <t>תרגיל הדגמה נוסף לקיצור דרך בלוח שפיצר - שימוש בפונקציית AMRT - תרגול כיתה</t>
  </si>
  <si>
    <t xml:space="preserve">ד״ר צבאן שוקל לרכוש מכונה ענקית לחימום נקניק לעובדי המשרד. </t>
  </si>
  <si>
    <t xml:space="preserve">לשם כך בכוונתו ליטול הלוואה בסך 400,000 ש״ח ל-15 שנים, המסולקת בתשלומים חודשיים שווים (לוח שפיצר). </t>
  </si>
  <si>
    <t>בהנחה שהריבית השנתית 10%, נדרש:</t>
  </si>
  <si>
    <t>ב. מהי יתרת ההלוואה בתום השנה ה-6?</t>
  </si>
  <si>
    <t>ג. מהי הריבית המשולמת בתשלום ה-78?</t>
  </si>
  <si>
    <t>ד. מהם סך תשלומי הריבית בשנה ה-1?</t>
  </si>
  <si>
    <t xml:space="preserve"> n</t>
  </si>
  <si>
    <t>Solve INT</t>
  </si>
  <si>
    <t>Solve BAL</t>
  </si>
  <si>
    <t>ד</t>
  </si>
  <si>
    <t xml:space="preserve">Solve </t>
  </si>
  <si>
    <t>תרגיל וסוגיה נוספת ואחרונה בשפיצר - גישת המסלולים</t>
  </si>
  <si>
    <t xml:space="preserve">שיראל מעוניינת לרכוש מבנה לטובת חימום נקניק. </t>
  </si>
  <si>
    <t>עלות המבנה 1,000,000 ש״ח, והיא מעוניינת ליטול משכנתא (הלוואה) למימון 60% מעלות המבנה.</t>
  </si>
  <si>
    <t>את המשכנתא שיראל תיקח ב-2 מסלולים:</t>
  </si>
  <si>
    <t>מסלול א:</t>
  </si>
  <si>
    <t>מהמשכנתא</t>
  </si>
  <si>
    <t>בריבית פריים פלוס 0.5%</t>
  </si>
  <si>
    <t>מסלול ב:</t>
  </si>
  <si>
    <t>בריבית קבועה של 7%</t>
  </si>
  <si>
    <t xml:space="preserve">המשכנתא תפרע בתשלומים חודשיים שווים (לוח שפיצר) במשך 30 שנה. </t>
  </si>
  <si>
    <t xml:space="preserve">ב. חשבו את ה-PMT בכל אחד מהמסלולים. </t>
  </si>
  <si>
    <t>ד. מהם סך תשלומי הריבית שבוצעו במהלך 5 השנים הראשונות.</t>
  </si>
  <si>
    <t xml:space="preserve">ג. מהי יתרת ההלוואה (המשכנתא) לאחר 5 שנים. </t>
  </si>
  <si>
    <t xml:space="preserve">הדרכה: פצלו את ההלוואה ל-2 חלקים: חלק 1: מסלול א, חלק 2: מסלול ב. </t>
  </si>
  <si>
    <t xml:space="preserve">חשבו את ה-BAL לאחר 5 שנים (60 תשלומים) של כל חלק בנפרד, וחברו. </t>
  </si>
  <si>
    <t>סה״כ:</t>
  </si>
  <si>
    <t xml:space="preserve">PMT(א)+PMT(ב) = </t>
  </si>
  <si>
    <t>א. חפשו בגוגל מהי ״ריבית הפריים היום״. בהתבסס עליה חשבו את הריבית השנתית במסלול א (תשובה: פריים = 6%, פריים + 0.5% = 6.5%)</t>
  </si>
  <si>
    <t>פתרון סעיף ב</t>
  </si>
  <si>
    <t>פתרון סעיף ג</t>
  </si>
  <si>
    <t>PM1</t>
  </si>
  <si>
    <t>PM2</t>
  </si>
  <si>
    <t xml:space="preserve">BAL(א)+BAL(ב) = </t>
  </si>
  <si>
    <t>פתרון סעיף ד</t>
  </si>
  <si>
    <t xml:space="preserve">חשבו את סך תשלומי הריבית ב- 5 השנים (תשלומים 1-60) של כל חלק בנפרד, וחברו. </t>
  </si>
  <si>
    <t>????</t>
  </si>
  <si>
    <t>???</t>
  </si>
  <si>
    <t xml:space="preserve">לוחות סילוקין וחילוץ ערכים </t>
  </si>
  <si>
    <t>הצמדה ואינפלציה, קריטריונים לבחינת כדאיות השקעות</t>
  </si>
  <si>
    <t>שבוע שעבר</t>
  </si>
  <si>
    <t>השבוע</t>
  </si>
  <si>
    <t>מפגש 10 - יסודות המימון א - אינפלציה (הצמדת לוחות סילוקין) וכדאיות השקעות - הבסיס</t>
  </si>
  <si>
    <t>מיני רציונל - הלוואות שפיצר (המשך של השיעור הקודם) + השפעות אינפלציה (הצמדה למדד)</t>
  </si>
  <si>
    <t xml:space="preserve">עליית מחירים היא אחד מהנושאים הכי כואבים בקיום הכלכלי שלנו. </t>
  </si>
  <si>
    <t xml:space="preserve">אתם לא מכירים את זה, כי אתם בני 6, אבל אני זוכר תקופה שבה ליטר דלק עלה 2.80. </t>
  </si>
  <si>
    <t>אני גם זוכר תקופה שבה לאפה עלתה 27 ש״ח.</t>
  </si>
  <si>
    <t>כמובן שזה לא דומה בכלל למחירים היום.</t>
  </si>
  <si>
    <t>במלים אחרות - אם אני משקיע או מלווה כסף - כדי לדעת מה הריבית שאדרוש, אני צריך לקחת בחשבון</t>
  </si>
  <si>
    <t xml:space="preserve">גם את עליית המחירים. </t>
  </si>
  <si>
    <t xml:space="preserve">המחשה: נניח שהלוויתי למשה כסף - 100 ש״ח, לשנה, בריבית 10%. הוא מחזיר לי אחרי שנה 110. </t>
  </si>
  <si>
    <t xml:space="preserve">אם במהלך אותה שנה המחירים עלו ב-20%: הפסדתי. </t>
  </si>
  <si>
    <t>לכן, מלווים ומשקיעים רבים מעוניינים להגן על הכסף שלהם - בצורה של התקשרות שתבטיח שיקבלו גם את הרווח</t>
  </si>
  <si>
    <t xml:space="preserve">הבסיסי, וגם את עליית המחירים. </t>
  </si>
  <si>
    <t xml:space="preserve">המנגנון הזה - שמשרת משקיעים - וקובע שהם יקבלו עוד סכום מעבר לרווח הבסיסי במידה וחלה עליית מחירים כזו - </t>
  </si>
  <si>
    <t xml:space="preserve">נקרא ״הצמדה״. </t>
  </si>
  <si>
    <t>בשפה פשוטה: הלוואה צמודה / השקעה צמודה - הלוואה / השקעה שבה הסכום הכספי שיתקבל מותאם לעליית</t>
  </si>
  <si>
    <t xml:space="preserve">המחירים / למדד / לאינפלציה. </t>
  </si>
  <si>
    <t>שאלה 1 - הלוואת שפיצר צמודה למדד - שאלה בסיסית</t>
  </si>
  <si>
    <t>יחיא נטל הלוואה בסכום של 50,000 ש״ח לטובת רכישת מכונה לחימום נקניק. ההלוואה צמודה למדד ונושאת</t>
  </si>
  <si>
    <t xml:space="preserve">ריבית שנתית צמודה בשיעור 4% לשנה. ההלוואה נפרעת בתשלומים חודשיים שווים (לוח סילוקין שפיצר) </t>
  </si>
  <si>
    <t xml:space="preserve">במשך 5 שנים. </t>
  </si>
  <si>
    <t xml:space="preserve">בחלוף שנתיים בדיוק, זכה יחיא בלוטו, והוא מעוניין לפרוע את יתרת ההלוואה לאותו היום. </t>
  </si>
  <si>
    <t xml:space="preserve">אם ידוע שהמדד במועד נטילת ההלוואה הוא 104, והמדד בחלוף שנתיים הוא 108.5, מהו הסכום שאותו יצטרך </t>
  </si>
  <si>
    <t>יחיא לפרוע?</t>
  </si>
  <si>
    <t>כאשר אני נתקל בשאלה על הלוואה צמודה למדד, אפעל בשני שלבים:</t>
  </si>
  <si>
    <t xml:space="preserve">שלב 1: חישוב הערך הנדרש בהתעלם מההצמדה (CMPD + AMRT). </t>
  </si>
  <si>
    <t xml:space="preserve">שלב 2: ביצוע הצמדה למדד: כופלים את הערך לפני הצמדה ביחס בין המדד העדכני למדד הבסיס (במועד נטילת ההלוואה). </t>
  </si>
  <si>
    <t xml:space="preserve">((1+4%)^(1/12)-1)*100 = </t>
  </si>
  <si>
    <t>סכום ההלוואה, בסימן חיובי</t>
  </si>
  <si>
    <t xml:space="preserve">5 * 12 = </t>
  </si>
  <si>
    <t>אין כאן תשלום חד פעמי נוסף ״בסוף״</t>
  </si>
  <si>
    <t xml:space="preserve">שאלו על היתרה אחרי שנתיים, לכן, </t>
  </si>
  <si>
    <t>עליי להזין ב-PM ערך של 24 (כי שאלו</t>
  </si>
  <si>
    <t>על היתרה לאחר 24 תשלומים)</t>
  </si>
  <si>
    <t>היתרה (מעוגל לש״ח השלם הקרוב)</t>
  </si>
  <si>
    <t>שלב 1: חישוב יתרת ההלוואה רגע לפני הפדיון המוקדם - CMPD + AMRT: בהתעלם מההצמדה</t>
  </si>
  <si>
    <t>שלב 2: חישוב יתרת ההלוואה כולל הצמדה - על בסיס יתרת BAL לפני הצמדה, כפול היחס בין המדד העדכני לבין המדד במועד נטילת ההלוואה</t>
  </si>
  <si>
    <t xml:space="preserve">BAL(Zamud) = BAL * </t>
  </si>
  <si>
    <t>מדד עדכני</t>
  </si>
  <si>
    <t>מדד בסיסי</t>
  </si>
  <si>
    <t xml:space="preserve">BAL(Zamud) = 31,168 * </t>
  </si>
  <si>
    <t>כך שהיתרה לתשלום (יתרת החוב אחרי הצמדה) בחלוף שנתיים (באל זמוד) היא 32,517 ש״ח.</t>
  </si>
  <si>
    <t>שאלה 2 - הלוואת שפיצר צמודה למדד - שאלה בסיסית</t>
  </si>
  <si>
    <t>הבנק מציע לו שתי אפשרויות:</t>
  </si>
  <si>
    <t xml:space="preserve">א. הלוואה צמודה למדד, בריבית שנתית של 3%. </t>
  </si>
  <si>
    <t>ב. הלוואה שאיננה צמודה למדד בריבית שנתית של 8%.</t>
  </si>
  <si>
    <t xml:space="preserve">דור מעוניין ליטול הלוואה בסכום של 50,000 ש״ח לתקופה של 4 שנים, בהחזרים חודשיים שווים. </t>
  </si>
  <si>
    <t>מס׳ תשלומים כולל בהלוואה 4*12 = 48</t>
  </si>
  <si>
    <t>[(1 + 3%)^(1/12) - 1] * 100 =</t>
  </si>
  <si>
    <t>שאלו על היתרה אחרי שנה, כלומר אחרי</t>
  </si>
  <si>
    <t>כ-12 תשלומים</t>
  </si>
  <si>
    <t>לפני הצמדה!</t>
  </si>
  <si>
    <t xml:space="preserve">BAL(Zamud) = 38,048 * </t>
  </si>
  <si>
    <r>
      <rPr>
        <b/>
        <sz val="12"/>
        <color theme="1"/>
        <rFont val="David"/>
        <family val="2"/>
        <charset val="177"/>
      </rPr>
      <t>של 106</t>
    </r>
    <r>
      <rPr>
        <sz val="12"/>
        <color theme="1"/>
        <rFont val="David"/>
        <family val="2"/>
        <charset val="177"/>
      </rPr>
      <t>, מהי צפויה להיות יתרת כל אחת מההלוואות בתום שנה?</t>
    </r>
  </si>
  <si>
    <r>
      <t xml:space="preserve">בהנחה שההערכה היא שהמדד ישתנה בשנה הקרובה </t>
    </r>
    <r>
      <rPr>
        <b/>
        <sz val="12"/>
        <color theme="1"/>
        <rFont val="David"/>
        <family val="2"/>
        <charset val="177"/>
      </rPr>
      <t>ממדד בסיס של 102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למדד עדכני</t>
    </r>
    <r>
      <rPr>
        <sz val="12"/>
        <color theme="1"/>
        <rFont val="David"/>
        <family val="2"/>
        <charset val="177"/>
      </rPr>
      <t xml:space="preserve"> (בתום השנה ה-1)</t>
    </r>
  </si>
  <si>
    <t>פתרון סעיף א - יתרת ההלוואה הצמודה:</t>
  </si>
  <si>
    <t>פתרון סעיף ב - יתרת הלוואה לא צמודה בריבית 8%:</t>
  </si>
  <si>
    <t xml:space="preserve">אם הלוואה איננה צמודה, לא צריך להפעיל עבורה את שלב 2. </t>
  </si>
  <si>
    <t>ההלוואה לא צמודה, ולכן היתרה</t>
  </si>
  <si>
    <t>שחושבה ב-BAL היא גם היתרה סופית</t>
  </si>
  <si>
    <t>כך שהיתרה לתשלום בחלוף שנה בהלוואה לא צמודה - סעיף ב: היא 38,904 ש״ח.</t>
  </si>
  <si>
    <t>כך שהיתרה לתשלום (יתרת החוב אחרי הצמדה) בחלוף שנה (באל זמוד) היא 39,540 ש״ח.</t>
  </si>
  <si>
    <t>המשך תרגול הלוואות והקשר להצמדה למדד</t>
  </si>
  <si>
    <t>נושא אחרון - בחינת כדאיות השקעות (פרויקטים)</t>
  </si>
  <si>
    <t>מבוא ומשמעות:</t>
  </si>
  <si>
    <t xml:space="preserve">אנו מגדירים במימון פרויקט בתור רצף תזרימי מזומנים הנובע ממנו. </t>
  </si>
  <si>
    <t>במלים אחרות, אנחנו לא נדבר על פרויקט במונחים של סיבוכיות תפעולית, או הקצאת משאבים וכיו״ב.</t>
  </si>
  <si>
    <t xml:space="preserve">אצלנו פרויקט מוגדר בתור תחזית הערכים הכספיים שצפויים לנבוע ממנו. </t>
  </si>
  <si>
    <t>למשל, שאלת פרויקטים בקורס בהחלט יכולה להתחיל פשוט ככה:</t>
  </si>
  <si>
    <t>״לפניך נתוני פרויקט שמוצע לחברה״:</t>
  </si>
  <si>
    <t>פרויקט א</t>
  </si>
  <si>
    <t xml:space="preserve">המטרה שלנו - אם אני מקבל נתוני תזרימי מזומנים של פרויקט - לסייע לחברה לקבל החלטה בדבר כדאיותו. </t>
  </si>
  <si>
    <t>הקריטריונים שבאמצעותם נקבע האם פרויקט כדאי- שניים</t>
  </si>
  <si>
    <r>
      <t xml:space="preserve">קריטריון 1: ערך נוכחי נקי (ענ״נ) ובאנגלית - NPV (Net Present Value): שווי הפרויקט בערך כספי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 נטו. </t>
    </r>
  </si>
  <si>
    <r>
      <t xml:space="preserve">קריטריון 2: שיעור תשואה פנימי (שת״פ) ובאנגלית - (IRR (Internal Rate of Return - מייצג את תשואת הפרויקט </t>
    </r>
    <r>
      <rPr>
        <b/>
        <sz val="12"/>
        <color theme="1"/>
        <rFont val="David"/>
        <family val="2"/>
        <charset val="177"/>
      </rPr>
      <t>באחוזים</t>
    </r>
    <r>
      <rPr>
        <sz val="12"/>
        <color theme="1"/>
        <rFont val="David"/>
        <family val="2"/>
        <charset val="177"/>
      </rPr>
      <t xml:space="preserve">. </t>
    </r>
  </si>
  <si>
    <t>תרגיל בסיסי - חישוב NPV ו-IRR לפרויקט ובחינת כדאיותו</t>
  </si>
  <si>
    <t>עאישה בע״מ היא חברה ענקית לחימום נקניק. לאחרונה הוצע לחברה להרחיב את פעילותה לברזיל ולשם כך החברה</t>
  </si>
  <si>
    <t xml:space="preserve">נדרשת לבצע השקעה גדולה, שצפויה להניב ערך כספי לאחר מכן. </t>
  </si>
  <si>
    <t xml:space="preserve">ידוע כי מחיר ההון של החברה (הריבית שדורשים המשקיעים) היא 8% לשנה. </t>
  </si>
  <si>
    <t xml:space="preserve">חשבו את ה-NPV וה-IRR של הפרויקט וחוו דיעה בדבר כדאיותו לאורם. </t>
  </si>
  <si>
    <t>תשלום - ערך כספי</t>
  </si>
  <si>
    <t>לאחר שגייסה את מיטב הכלכלנים לאומדן הערכים הכספיים של הפרויקט, נמסרו לה הנתונים להלן (במיליוני ש״ח):</t>
  </si>
  <si>
    <t>לשם נוחות, אני אעתיק את הנתונים למקום נקי:</t>
  </si>
  <si>
    <t>CASH</t>
  </si>
  <si>
    <t>כפתור שכולל</t>
  </si>
  <si>
    <t>כלים לכדאיות</t>
  </si>
  <si>
    <t>פרויקטים</t>
  </si>
  <si>
    <t>זמן שנים</t>
  </si>
  <si>
    <t>Csh. Deditor &gt;&gt;&gt;EXE&gt;&gt;&gt;&gt;</t>
  </si>
  <si>
    <t>X</t>
  </si>
  <si>
    <t>כל מה שעשיתי כאן היה להעתיק</t>
  </si>
  <si>
    <t>את נתוני התשלומים של הפרוקיט</t>
  </si>
  <si>
    <t>בזה אחר זה. במחשבון הפיננסי,</t>
  </si>
  <si>
    <t>הערך ״1״ הוא זמן 0, הערך ״2״ הוא זמן 1</t>
  </si>
  <si>
    <t>וכן הלאה... אני פשוט מעתיק לפי הסדר.</t>
  </si>
  <si>
    <t xml:space="preserve">לחיצה על ESC </t>
  </si>
  <si>
    <t xml:space="preserve">SOLVE NPV = </t>
  </si>
  <si>
    <t xml:space="preserve">SOLVE IRR = </t>
  </si>
  <si>
    <t>משמעות הגדלים וקבלת החלטות (כדאי / לא כדאי):</t>
  </si>
  <si>
    <t>ה-NPV הוא שווי הפרויקט נטו (בכסף). כשאני אומר שווי הפרויקט ״נטו״: בהתחשב בכל הכספים</t>
  </si>
  <si>
    <t>שישולמו במסגרת הפרויקט, בכל הכספים שיתקבלו במסגרת הפרויקט, וכן בהתחשב בריבית.</t>
  </si>
  <si>
    <r>
      <t xml:space="preserve">באופן עקרוני כדאי לקבל כל פרויקט אשר ה-NPV שלו </t>
    </r>
    <r>
      <rPr>
        <b/>
        <sz val="12"/>
        <color theme="1"/>
        <rFont val="David"/>
        <family val="2"/>
        <charset val="177"/>
      </rPr>
      <t>חיובי</t>
    </r>
    <r>
      <rPr>
        <sz val="12"/>
        <color theme="1"/>
        <rFont val="David"/>
        <family val="2"/>
        <charset val="177"/>
      </rPr>
      <t xml:space="preserve">. </t>
    </r>
  </si>
  <si>
    <t>בקצרה: NPV=שווי נטו, קבל את הפרויקט אם: NPV&gt;0.</t>
  </si>
  <si>
    <t>כדאי! NPV&gt;0</t>
  </si>
  <si>
    <t xml:space="preserve">ה-IRR הוא התשואה השנתית הממוצעת למשקיע (לפני ריביות / עלויות מימון). </t>
  </si>
  <si>
    <t>כלומר: הפרויקט הזה נותן למשקיע תשואה (רווח באחוזים) של 23.61% לשנה.</t>
  </si>
  <si>
    <t xml:space="preserve">כדי שפרויקט יהיה כדאי, עליו לספק תשואה באחוזים שתהיה גבוהה מהריבית שדורשים המשקיעים (מחיר ההון). </t>
  </si>
  <si>
    <t>במקרה זה: התשואה מהפרויקט IRR 23.61% גבוהה יותר מהריבית שדורשים המשקיעים (מחיר ההון) 8%,</t>
  </si>
  <si>
    <t xml:space="preserve">ולכן הפרויקט כדאי. </t>
  </si>
  <si>
    <t>בקצרה: IRR = תשואה באחוזים, קבלי את הפרויקט אם IRR&gt;%I</t>
  </si>
  <si>
    <t>כדאי! IRR&gt;%I</t>
  </si>
  <si>
    <t>23.61%&gt;8%</t>
  </si>
  <si>
    <t>תרגיל נוסף - חישוב NPV ו-IRR לפרויקט ובחינת כדאיותו</t>
  </si>
  <si>
    <t xml:space="preserve">איזאר שוקל לרכוש מכונה ענקית לחימום נקניק לעובדי המשרד. </t>
  </si>
  <si>
    <t>עלות המכונה שתשולם מיד היא 2 מיליון ש״ח.</t>
  </si>
  <si>
    <t>איזאר צופה שהשיפור במוטיבציה של העובדים בעקבות הנקניק יגדיל את הכנסות החברה בסכום של 0.5 מ׳ ש״ח</t>
  </si>
  <si>
    <t xml:space="preserve">בתום כל שנה 3 שנים, ובסכום של 0.8 מ׳ ש״ח בתום כל שנה בשנתיים לאחר מכן. </t>
  </si>
  <si>
    <t xml:space="preserve">נדרש: חשבו את ה-NPV ואת ה-IRR של ההשקעה, וחוות דעה בדבר כדאיותה. </t>
  </si>
  <si>
    <t xml:space="preserve">המשקיעים בחברה דורשים תשואה בשיעור 7% לשנה. </t>
  </si>
  <si>
    <t>הריבית הנדרשת / התשואה הנדרשת על ידי המשקיעים / מחיר ההון</t>
  </si>
  <si>
    <t>הרחבה: על בסיס הממצאים, חוו דעתכם לגבי כל אחת מהטענות הבאות:</t>
  </si>
  <si>
    <t>טענה 1: ״הפרויקט לא כדאי, משום שה-NPV נמוך מה-%I״</t>
  </si>
  <si>
    <t>טענה 2: ״הפרויקט לא כדאי, משום שה-NPV נמוך מהתשלום בזמן 0״</t>
  </si>
  <si>
    <t>טענה 3: ״לפי IRR, הפרויקט כדאי״</t>
  </si>
  <si>
    <t>טענה 4: ״לפי IRR, הפרויקט כדאי - ובנוסף: גם אם ה-IRR היה נמוך יותר, כל עוד הוא חיובי, הפרויקט כדאי״</t>
  </si>
  <si>
    <t>הסבר:</t>
  </si>
  <si>
    <t>מדוע? משום שקריטריון NPV הוא שווי נטו של פרויקט, אחרי כל ההשפעות, ואחרי התחשבות בריבית.</t>
  </si>
  <si>
    <t>טענה 1 - שגויה:</t>
  </si>
  <si>
    <r>
      <t xml:space="preserve">לפי ה-NPV, כדאי לקבל כל פרויקט שה-NPV שלו </t>
    </r>
    <r>
      <rPr>
        <b/>
        <sz val="12"/>
        <color theme="1"/>
        <rFont val="David"/>
        <family val="2"/>
        <charset val="177"/>
      </rPr>
      <t>חיובי</t>
    </r>
    <r>
      <rPr>
        <sz val="12"/>
        <color theme="1"/>
        <rFont val="David"/>
        <family val="2"/>
        <charset val="177"/>
      </rPr>
      <t xml:space="preserve">: כלומר התנאי הוא NPV&gt;0 ולא NPV&gt;%I. </t>
    </r>
  </si>
  <si>
    <t>טענה 2 - שגויה:</t>
  </si>
  <si>
    <t xml:space="preserve">כאמור, אם ה-NPV חיובי, הפרויקט כדאי נקודה. </t>
  </si>
  <si>
    <t>טענה 3 - נכונה:</t>
  </si>
  <si>
    <t xml:space="preserve">לפי IRR, כדאי לקבל פרויקטים שבהם IRR&gt;%I. במקרה שלנו: IRR=14.94% מה שגדול ממחיר ההון %I = </t>
  </si>
  <si>
    <t>טענה 4 - שגויה.</t>
  </si>
  <si>
    <t xml:space="preserve">החלק השני של הטענה שגוי: הוא אומר שכל עוד ה-IRR חיובי, הפרויקט כדאי. </t>
  </si>
  <si>
    <t>זה לא נכון, משום שה-IRR  צריך להיות לא רק חיובי - אלא גבוה ממחיר ההון.</t>
  </si>
  <si>
    <t>מפגש 11 - יסודות המימון א - מבנה הבחינה וחזרה</t>
  </si>
  <si>
    <t>מנהלות - מבנה הבחינה ודגשים לקראתה - לכל המועדים (א+ב+ג+ד+ה+ו+ש)</t>
  </si>
  <si>
    <t xml:space="preserve">בחינתכם נשענת אך ורק על התכנים במחברת הקורס ובתרגיל ההגשה הרלוונטי. </t>
  </si>
  <si>
    <t xml:space="preserve">בנוסף, יועלו בהקדם בחינות לדוגמא לשם התרשמות בנושא. </t>
  </si>
  <si>
    <t>הבחינה עצמה:</t>
  </si>
  <si>
    <t>כמה זמן?</t>
  </si>
  <si>
    <t>שעתיים (120 דקות)</t>
  </si>
  <si>
    <t>חומר עזר:</t>
  </si>
  <si>
    <t>ובנוסף: מחשבון מדעי ו/או פיננסי</t>
  </si>
  <si>
    <r>
      <rPr>
        <b/>
        <sz val="12"/>
        <color theme="1"/>
        <rFont val="David"/>
        <family val="2"/>
        <charset val="177"/>
      </rPr>
      <t>כל</t>
    </r>
    <r>
      <rPr>
        <sz val="12"/>
        <color theme="1"/>
        <rFont val="David"/>
        <family val="2"/>
        <charset val="177"/>
      </rPr>
      <t xml:space="preserve"> חומר עזר </t>
    </r>
    <r>
      <rPr>
        <b/>
        <sz val="12"/>
        <color theme="1"/>
        <rFont val="David"/>
        <family val="2"/>
        <charset val="177"/>
      </rPr>
      <t>כתוב</t>
    </r>
    <r>
      <rPr>
        <sz val="12"/>
        <color theme="1"/>
        <rFont val="David"/>
        <family val="2"/>
        <charset val="177"/>
      </rPr>
      <t xml:space="preserve"> מותר בשימוש (סיכומים שלכם, הדפסות)</t>
    </r>
  </si>
  <si>
    <t>סוג השאלות:</t>
  </si>
  <si>
    <t>שאלות פתוחות בלבד</t>
  </si>
  <si>
    <t>ניקוד יינתן לא רק על התשובה הסופית - אלא בעיקר על הדרך.</t>
  </si>
  <si>
    <t>אופן ההגשה:</t>
  </si>
  <si>
    <t xml:space="preserve">סריקה (כותבים ידנית את הפרמטרים והתשובות וסורקים). </t>
  </si>
  <si>
    <t>שיעור חזרה:</t>
  </si>
  <si>
    <t xml:space="preserve">יתקיים ב-2/2 בזמן השיעור הרגיל. </t>
  </si>
  <si>
    <t>אופן ההכנה לבחינה וחומרי עזר:</t>
  </si>
  <si>
    <t xml:space="preserve">מיקוד לבחינה: שיופיע מיד, בצורה מפורטת ולפי נושאים. </t>
  </si>
  <si>
    <t>מבחנים לדוגמא / שאלות בסגנון מבחנים לדוגמא: יועלו לאתר .</t>
  </si>
  <si>
    <t>שיעור החזרה ב-2/2, יוארך במידת הצורך כדי להשיב לכל השאלות בצורה הדרגתית ונעימה.</t>
  </si>
  <si>
    <t>מיקוד מפורט לבחינה:</t>
  </si>
  <si>
    <t xml:space="preserve">באופן עקרוני אין ״מיקוד לבחינה״ ברמה של השמטת חומר. כל מה שלמדנו חיוני ובסיסי מאד, ואת ה״מיקוד״ </t>
  </si>
  <si>
    <t xml:space="preserve">מבחינת הדגשים הפחות רלוונטיים כבר הענקנו במהלך הסמסטר. </t>
  </si>
  <si>
    <t>יחד עם זאת יש מטרה מרכזית למיקוד (תמצית החומר) להלן בהקשרים הבאים:</t>
  </si>
  <si>
    <t xml:space="preserve">א. אם לא הייתי בקורס / פספסתי שיעורים / לרגע קיבלתי כאב ראש - כי אני לא באמת מבין במה עוסק הקורס - </t>
  </si>
  <si>
    <t>לעשות סדר בראש.</t>
  </si>
  <si>
    <t>ב. לעזור לכם לתכנן למידה ברמת המשקלים (איפה להשקיע יותר ואיפה פחות) על בסיס ציון הסוגיות המרכזיות.</t>
  </si>
  <si>
    <t>ג. לטובת בקרה עצמית: לאחר שאני מסיים למידה של נושא מסוים - אני עובר על רשימת המיקוד ומוודא שהכל</t>
  </si>
  <si>
    <t xml:space="preserve">ברור לי. </t>
  </si>
  <si>
    <t>להלן המיקוד היפה:</t>
  </si>
  <si>
    <t>נושא</t>
  </si>
  <si>
    <t>שיעורים</t>
  </si>
  <si>
    <t>דגשים והערות</t>
  </si>
  <si>
    <t xml:space="preserve">חישוב ערך עתידי של סכום יחיד (בריבית קבועה ובריבית משתנה). </t>
  </si>
  <si>
    <t>ערך עתידי - FV</t>
  </si>
  <si>
    <t xml:space="preserve">חישוב ערך עתידי של סדרה. </t>
  </si>
  <si>
    <t>חישוב ערך עתידי של סדרה וסכום יחיד.</t>
  </si>
  <si>
    <t>חישוב ערך עתידי מורכב - של מספר סדרות, של סדרה עם המתנה,</t>
  </si>
  <si>
    <t>סדרה עם הפרעה...</t>
  </si>
  <si>
    <t>חילוץ פרמטרים כשהערך העתידי נתון: חילוץ ריבית %I כולל המרה</t>
  </si>
  <si>
    <t xml:space="preserve">שלה (למשל, אבל לא רק - מחודש לשנה), חילוץ מספר התשלומים n, </t>
  </si>
  <si>
    <t xml:space="preserve">חילוץ גובה התשלום - PMT. </t>
  </si>
  <si>
    <t>ערך נוכחי - PV</t>
  </si>
  <si>
    <t>ערך נוכחי של סכום יחיד (בריבית קבועה ובריבית משתנה).</t>
  </si>
  <si>
    <t>ערך נוכחי של סדרה.</t>
  </si>
  <si>
    <t xml:space="preserve">ערך נוכחי של סדרה וגם סכום יחיד ״בסוף״. </t>
  </si>
  <si>
    <t xml:space="preserve">ערך נוכחי מורכב - של מספר סדרות, סדרה עם המתנה, סדרה עם </t>
  </si>
  <si>
    <t>סכום הלוואה כערך נוכחי של החזרים</t>
  </si>
  <si>
    <t>הפרעה, ערך נוכחי מסובך עם שינויים</t>
  </si>
  <si>
    <t>ערך נוכחי יישומים נוספים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</si>
  <si>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4-5</t>
    </r>
  </si>
  <si>
    <t>הלוואות שפיצר</t>
  </si>
  <si>
    <t>הלוואות שפיצר עם תשלום ״בלון״ בסוף</t>
  </si>
  <si>
    <t>הלוואות שפיצר שבהן צריך לבצע התאמת ריבית</t>
  </si>
  <si>
    <t>חילוץ ריבית מגולמת בהלוואת שפיצר (דוגמת האייפון ומגה לבית)</t>
  </si>
  <si>
    <t>בחירה בין חלופות רכישת מוצרים בתשלומים על בסיס ערך נוכחי בכל חלופה</t>
  </si>
  <si>
    <t>תכנון פיננסי - הפקדות ומשיכות</t>
  </si>
  <si>
    <t>ריבית אפקטיבית</t>
  </si>
  <si>
    <t>חישוב ריבית כוללת בהסדרים, כולל ריבית דריבית</t>
  </si>
  <si>
    <t>המשך פיתוח הלוואות:</t>
  </si>
  <si>
    <t>לוח סילוקין שפיצר - כולל שימוש ב-CMPD וגם ב-AMRT לטובת חילוצים</t>
  </si>
  <si>
    <t>בנייה מלאה של לוחות סילוקין - לוח שפיצר</t>
  </si>
  <si>
    <t>בנייה מלאה של לוחות סילוקין - לוח סילוקין ״רגיל״ (החזרי קרן שווים)</t>
  </si>
  <si>
    <t>הלוואות ולוחות סילוקין</t>
  </si>
  <si>
    <t>הלוואות צמודות מדד</t>
  </si>
  <si>
    <t>חישובי לוח סילוקין שפיצר בלבד</t>
  </si>
  <si>
    <t xml:space="preserve">והצמדתם למדד </t>
  </si>
  <si>
    <t>מבוא לכדאיות פרויקטים</t>
  </si>
  <si>
    <t>חישוב NPV (שווי פרויקט) וחישוב IRR (שיעור תשואה באחוזים של פרויקט)</t>
  </si>
  <si>
    <t xml:space="preserve">באמצעות פונקציית CASH.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</si>
  <si>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6-7</t>
    </r>
  </si>
  <si>
    <t>שאלה במבחן</t>
  </si>
  <si>
    <t>שתי שאלות:
שאלה אחת פשוטה
שאלה אחת מורכבת</t>
  </si>
  <si>
    <t>שלוש שאלות:
שאלה אחת פשוטה
שאלה אחת בינונית
שאלה אחת מורכבת</t>
  </si>
  <si>
    <t>שתי שאלות:
שאלה אחת על הלוואות שפיצר, בחירה בין חלופות, חילוץ ריבית
שאלה שניה - תכנון פיננסי</t>
  </si>
  <si>
    <t>שאלה אחת</t>
  </si>
  <si>
    <t>שאלה אחת
יש מצב שנשלב בין שפיצר
לרגיל</t>
  </si>
  <si>
    <t>ניתן
לדלג
על שאלה
אחת
כלומר:
יש 11 שאלות
אתם תבחרו
את ה-10
עליהן
אתם עונים</t>
  </si>
  <si>
    <t>בחירה</t>
  </si>
  <si>
    <r>
      <rPr>
        <sz val="12"/>
        <color theme="5" tint="0.59999389629810485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1-3</t>
    </r>
  </si>
  <si>
    <t>סובחי הנסיך</t>
  </si>
  <si>
    <t>מספר מצומצם של שאלות לתרגול ראשוני - המשך יבוא:</t>
  </si>
  <si>
    <t xml:space="preserve">חברת ״סובחי הנסיך״ בע״מ מעוניינת לרכוש מכונה לטחינת פופיקים על מנת לייצר נקניק טרי. </t>
  </si>
  <si>
    <t xml:space="preserve">לשם כך בכוונתה להפקיד בתום כל חודש במשך 4 שנים סכום קבוע של 2,000 ש״ח. </t>
  </si>
  <si>
    <t xml:space="preserve">לאחר מכן, לא תבוצענה הפקדות במשך שנתיים. </t>
  </si>
  <si>
    <t xml:space="preserve">בדיוק בתום השנה ה-6, תבוצע הפקדה חד פעמית בודדת של 50,000 ש״ח. </t>
  </si>
  <si>
    <t xml:space="preserve">בכל אחת מהשנים 7, 8 ו-9 תבוצע הפקדה רבעונית בסכום של 4,000 ש״ח לרבעון. </t>
  </si>
  <si>
    <t>בתום השנה ה-9 הפקדון ייפרע.</t>
  </si>
  <si>
    <t>בהנחה שהריבית השנתית היא בשיעור של 10% לשנה בכל אחת מהשנתיים הראשונות, ו-15% לשנה בכל שנה לאחר מכן, מהו הסכום שיעמוד</t>
  </si>
  <si>
    <t>לרשותו של סובחי הנסיך לשם רכש מכונת חימום הפופיקים?</t>
  </si>
  <si>
    <t xml:space="preserve">השאלה עוסקת בערך עתידי FV משום שהמטרה היא לגלות מהו הסכום הכולל שיעמוד לרשותנו ״בסוף״ / ״בעתיד״. </t>
  </si>
  <si>
    <t>כמו כן, אני מזהה שינויים בפרמטרים - ריבית, סכומים וכיו״ב - לכן זהו ערך עתידי מורכב.</t>
  </si>
  <si>
    <t>במצב כזה, אנו מבצעים חישוב בשלבים, כל שלב הוא עד מועד ההפרעה / השינוי.</t>
  </si>
  <si>
    <t>עד השינוי הראשון:</t>
  </si>
  <si>
    <t>עד שינוי הריבית</t>
  </si>
  <si>
    <t>עד תום שנה 2</t>
  </si>
  <si>
    <t>הפקדה כל חודש</t>
  </si>
  <si>
    <t>בשנה ה-3</t>
  </si>
  <si>
    <t>ובשנה ה-4</t>
  </si>
  <si>
    <t>בריבית אחרת</t>
  </si>
  <si>
    <t>אין הפקדות</t>
  </si>
  <si>
    <t>רק צבירת</t>
  </si>
  <si>
    <t>במשך שנתיים</t>
  </si>
  <si>
    <t>עד תום 6</t>
  </si>
  <si>
    <t xml:space="preserve">הסכום </t>
  </si>
  <si>
    <t>שנצבר בתום</t>
  </si>
  <si>
    <t>שנה 6 - מצטרף</t>
  </si>
  <si>
    <t>ל-50,000</t>
  </si>
  <si>
    <t>הפקדה בודדת</t>
  </si>
  <si>
    <t>כל רבעון</t>
  </si>
  <si>
    <t>במשך 3 שנים</t>
  </si>
  <si>
    <t xml:space="preserve">תשובתנו הסופית: סובחי יכול לרכוש מכונת נקניק בעלות של 385,483 ש״ח בתום השנה ה-9. </t>
  </si>
  <si>
    <t>טיפים:</t>
  </si>
  <si>
    <t>א. מדוע צריך כל כך הרבה שלבים, ואיך מזהים אותם?</t>
  </si>
  <si>
    <t xml:space="preserve">תמיד כשיש שינוי באחד או יותר מהפרמטרים - סכום, ריבית, תדירות - </t>
  </si>
  <si>
    <t xml:space="preserve">חייבים לפצל את החישוב. </t>
  </si>
  <si>
    <t>ספציפית כאן, למשל, מדובר בהפקדה קבועה במשך 4 שנים,</t>
  </si>
  <si>
    <t>אך הריבית השתנתה לאחר שנתיים.</t>
  </si>
  <si>
    <t>לכן הייתי חייב לפצל את החישוב בתום השנתיים הראשונות.</t>
  </si>
  <si>
    <t>לאחר מכן, בתום שנה 4, חלה הפסקה בהפקדות - זה שינוי</t>
  </si>
  <si>
    <t>נוסף, שהצדיק עמודה נוספת (השלישית) וכן הלאה.</t>
  </si>
  <si>
    <t>ב איך מזהים שצריך להמיר ריבית?</t>
  </si>
  <si>
    <t>כאשר אנו עוסקים בסדרות, כלומר - בהפקדות או תשלומים</t>
  </si>
  <si>
    <t>שיש בהם PMT קבוע, הריבית חייבת להתאים לפרק הזמן</t>
  </si>
  <si>
    <t>בין תשלומים.</t>
  </si>
  <si>
    <t>לכן, אם הריבית שנתית, והתשלומים חודשיים, ומדברים</t>
  </si>
  <si>
    <t>על סדרת הפקדות חודשיות - צריך לדאוג להמיר את הריבית</t>
  </si>
  <si>
    <t>לחודשית.</t>
  </si>
  <si>
    <t>באופן דומה, אם עוסקים בסדרת הפקדות רבעוניות,</t>
  </si>
  <si>
    <t>והריבית שנתית, צריך לדאוג להמיר את הריבית לרבעונית.</t>
  </si>
  <si>
    <t>אם עוסקים בחישוב שאין בו סדרת הפקדות (PMT=0),</t>
  </si>
  <si>
    <t xml:space="preserve">נכון. </t>
  </si>
  <si>
    <t>זה לא משנה איזו ריבית לוקחים, העיקר שמשתמשים בה</t>
  </si>
  <si>
    <t>שאלה נוספת ברמת מבחן</t>
  </si>
  <si>
    <t xml:space="preserve">שרון מעוניינת לרכוש מכונה לעטיפת בשר טחון במעיים. </t>
  </si>
  <si>
    <t xml:space="preserve">המחיר הקטלוגי של המכונה הוא 100,000 ש״ח. </t>
  </si>
  <si>
    <t xml:space="preserve">היבואן מציע לשרון לשלם בעד המכונה ב-20 תשלומים שווים ללא ריבית בתום כל חודש בסכום של 5,000 ש״ח. </t>
  </si>
  <si>
    <t>יחד עם זאת, ידוע לשרון שבמידה ותוכל לשלם את כל הסכום במזומן מיידית, תזכה להנחה בשיעור 8% מחיר</t>
  </si>
  <si>
    <t>המחירון.</t>
  </si>
  <si>
    <t>בהנחה שלשם תשלום מיידי עליה ליטול בבנק הלוואה בריבית 10% לשנה, נדרש:</t>
  </si>
  <si>
    <r>
      <t xml:space="preserve">א. מהי הריבית </t>
    </r>
    <r>
      <rPr>
        <b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המגולמת בהסדר רכישת המכונה?</t>
    </r>
  </si>
  <si>
    <t>נושא השאלה העקרוני הוא - חילוץ ריבית המגולמת בהסדר תשלומים לרכישת מוצר: אנו מתייחסים לעלות המוצר</t>
  </si>
  <si>
    <r>
      <t xml:space="preserve">במזומן, נטו, </t>
    </r>
    <r>
      <rPr>
        <b/>
        <sz val="12"/>
        <color theme="1"/>
        <rFont val="David"/>
        <family val="2"/>
        <charset val="177"/>
      </rPr>
      <t>אחרי הנחה</t>
    </r>
    <r>
      <rPr>
        <sz val="12"/>
        <color theme="1"/>
        <rFont val="David"/>
        <family val="2"/>
        <charset val="177"/>
      </rPr>
      <t xml:space="preserve"> כ-PV, ודואגים לחשב את ה-%I. זכרו: ה-%I שנחלץ הוא לפרק הזמן בין תשלומים. </t>
    </r>
  </si>
  <si>
    <t>מספר התשלומים הכולל בהסדר</t>
  </si>
  <si>
    <t>מחיר המוצר נטו במזומן לאחר הנחה של 8%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</si>
  <si>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=100,000 * (1 - 8%)</t>
    </r>
  </si>
  <si>
    <t>סכום התשלום התקופתי הקבוע</t>
  </si>
  <si>
    <t>תשלום או תקבול חד פעמי בסיום העסקה</t>
  </si>
  <si>
    <r>
      <t xml:space="preserve">ריבית לתקופת תשלום = </t>
    </r>
    <r>
      <rPr>
        <b/>
        <sz val="12"/>
        <color theme="1"/>
        <rFont val="David"/>
        <family val="2"/>
        <charset val="177"/>
      </rPr>
      <t>חודש</t>
    </r>
  </si>
  <si>
    <t>הואיל ובשאלה רצו ריבית שנתית ולא חודשית, עליי לתקנן את הריבית מחודש לשנה:</t>
  </si>
  <si>
    <t>הריבית השנתית בהסדר הרכישה בתשלומים</t>
  </si>
  <si>
    <t>ב. איזו חלופה שרון תעדיף - נטילת הלוואה מהבנק ותשלום מלוא הסכום ליבואן, או את הסדר התשלומים של היבואן.</t>
  </si>
  <si>
    <t>לגבי נדרש ב:</t>
  </si>
  <si>
    <t>הריבית שמשלמים ליבואן:</t>
  </si>
  <si>
    <t>הריבית שמשלמים לבנק:</t>
  </si>
  <si>
    <t>המטרה שלנו היא לשלם כמה שפחות ריבית, לכן, נעדיף את החלופה של הלוואה בבנק על פני חלופת ההסדר</t>
  </si>
  <si>
    <t xml:space="preserve">של היבואן. </t>
  </si>
  <si>
    <t>נדרש א:</t>
  </si>
  <si>
    <t xml:space="preserve">חודשיים. </t>
  </si>
  <si>
    <t>הריבית השנתית בהלוואה היא 8%.</t>
  </si>
  <si>
    <t>עידו ג׳אן נטל הלוואה בסך 800,000 ש״ח לתקופה של 30 שנים, הנפרעת לפי לוח סילוקין שפיצר, בתשלומים</t>
  </si>
  <si>
    <t>א. מהו התשלום שיבוצע על חשבון הריבית בשנה הראשונה של ההלוואה?</t>
  </si>
  <si>
    <t>ב. מהי יתרת ההלוואה בתום השנה ה-12?</t>
  </si>
  <si>
    <t>ג. בהנחה שההלוואה צמודה, ושהמדד הוא 104 במועד נטילתה, ו-109.5 בחלוף 14 שנים, מהי יתרת ההלוואה</t>
  </si>
  <si>
    <t>לאחר 14 שנים?</t>
  </si>
  <si>
    <t xml:space="preserve">בכל הלוואת / לוח סילוקין שפיצר, תמיד מתחילים בחישוב CMPD ו-PMT. </t>
  </si>
  <si>
    <t>אחר כך, אם רוצים להעמיק, עוברים לאפשרויות AMRT בלי לאפס את המחשבון.</t>
  </si>
  <si>
    <t>בתור התחלה תמיד נתייחס למספר התשלומים הכולל בהלוואה</t>
  </si>
  <si>
    <t>הריבית לתקופת תשלום - ריבית חודשית</t>
  </si>
  <si>
    <t>סכום חד פעמי בסיום העסקה - כאן: אין</t>
  </si>
  <si>
    <t>התשלום התקופתי הקבוע בהסדר</t>
  </si>
  <si>
    <t xml:space="preserve">כדי לדעת מהי הריבית הכוללת ששולמה בשנה ה-1, </t>
  </si>
  <si>
    <t xml:space="preserve">אני למעשה רוצה לדעת את כל הריביות שנכללו </t>
  </si>
  <si>
    <t xml:space="preserve">בתשלומים ב-12 החודשים הראשונים. </t>
  </si>
  <si>
    <t>סך תשלומי</t>
  </si>
  <si>
    <t>הריבית ב-12</t>
  </si>
  <si>
    <t>הראשונים</t>
  </si>
  <si>
    <t>התשלומים</t>
  </si>
  <si>
    <t>יתרת ההלוואה בתום השנה ה-12 היא למעשה היתרה לאחר 144 תשלומים:</t>
  </si>
  <si>
    <t>יתרת</t>
  </si>
  <si>
    <t>ההלוואה</t>
  </si>
  <si>
    <t>תשלומים</t>
  </si>
  <si>
    <t>ג. בהנחה שההלוואה צמודה, ושהמדד הוא 104 במועד נטילתה, ו-109.5 בחלוף 14 שנים, מהי יתרת ההלוואה לאחר 14 שנים?</t>
  </si>
  <si>
    <t>יתרת ההלוואה בתום השנה ה-14 היא למעשה היתרה לאחר 168 תשלומים:</t>
  </si>
  <si>
    <t xml:space="preserve">לאחר 168 </t>
  </si>
  <si>
    <t xml:space="preserve">לאחר 144 </t>
  </si>
  <si>
    <t>יתרה לפני הצמדה</t>
  </si>
  <si>
    <t>וכדי להגיע ליתרה אחרי הצמדה, פשוט נכפול אותה ביחס שבין המדד העדכני לבין המדד הבסיסי במועד נטילת ההלוואה:</t>
  </si>
  <si>
    <t>יתרת ההלוואה לאחר הצמדה בחלוף 14 שנים:</t>
  </si>
  <si>
    <t>לדעת מהו הסכום הכולל שנצטרך לשלם בעתיד (בהלוואות) או הסכום שנקבל בעתיד (בהשקעות ופקדונות). FV = Future Value</t>
  </si>
  <si>
    <t>לאחר שזיהיתי את סוג העסקה</t>
  </si>
  <si>
    <t>אני יכול לעבור להגדיר את הפרמטרים</t>
  </si>
  <si>
    <t>הפיננסיים שעל בסיסם אחשב</t>
  </si>
  <si>
    <t>את תוצאותיה</t>
  </si>
  <si>
    <t>כפתור במחשבון הפיננסי שפותר את הנדרש לאחר הצבת הערכים האחרים</t>
  </si>
  <si>
    <t xml:space="preserve">כן - כי כתוב ״מפקיד כל חודש״ </t>
  </si>
  <si>
    <t>5* 12 = 60</t>
  </si>
  <si>
    <t>כשיש סדרה וגם סכום יחיד</t>
  </si>
  <si>
    <t>כל כיוון ההתייחסות הוא כמו סדרה</t>
  </si>
  <si>
    <t>אך בנוסף יהיה PV</t>
  </si>
  <si>
    <t>ההפקדות בסדרה הן כל חודש - נדרשת ריבית חודשית - נתונה כ-0.4%</t>
  </si>
  <si>
    <r>
      <t xml:space="preserve">מספר ההפקדות </t>
    </r>
    <r>
      <rPr>
        <b/>
        <sz val="12"/>
        <color theme="1"/>
        <rFont val="David"/>
        <family val="2"/>
        <charset val="177"/>
      </rPr>
      <t>בסדרה (ללא הסכום החד פעמי) = 4 שנים, כל חודש</t>
    </r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</si>
  <si>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=4*12</t>
    </r>
  </si>
  <si>
    <t>הפקדה מיידית חד פעמית  ״הבומבה בהתחלה״</t>
  </si>
  <si>
    <t>ההפקדה התקופתית בסדרה - הסכום המופקד כל חודש</t>
  </si>
  <si>
    <t>מסקנה:</t>
  </si>
  <si>
    <t>הריבית החודשית בעסקה</t>
  </si>
  <si>
    <t>היא כ-2.01563%</t>
  </si>
  <si>
    <t>המרת ריבית:</t>
  </si>
  <si>
    <t>התאמת תקופת הריבית</t>
  </si>
  <si>
    <t>למשל: יש לי ריבית לחודש,</t>
  </si>
  <si>
    <t>ואני רוצה ריבית לשנה</t>
  </si>
  <si>
    <t>נוסחה מתמטית - לא במחשבון פיננסי:</t>
  </si>
  <si>
    <t>כפול 100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</si>
  <si>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 xml:space="preserve">=4 * 8 </t>
    </r>
  </si>
  <si>
    <t>דוגמא 6.2 - חפי חפראווי</t>
  </si>
  <si>
    <t>מאי מתחתנת עוד 10 שנים. עלות החתונה צפויה להיות 5,000,000 ש״ח והיא מעוניינת להמנע ממתנות לכיסוי החתונה.</t>
  </si>
  <si>
    <t xml:space="preserve">בהזמנתה כבר כתבה: ״אתם המתנה שלי, בבקשה להגיע ללא צ׳קים״. </t>
  </si>
  <si>
    <t xml:space="preserve">לשם מימון החתונה, מתכננת מאי להפקיד היום סכום של 400,000 ש״ח. </t>
  </si>
  <si>
    <t xml:space="preserve">בנוסף, בכוונתה להפקיד בתום כל חודש סכום קבוע לאותה תוכנית חסכון במשך כל 10 השנים כאמור. </t>
  </si>
  <si>
    <t xml:space="preserve">הריבית השנתית בתוכנית החסכון היא 5%. </t>
  </si>
  <si>
    <t>מהו הסכום החודשי שתצטרך מאי להפקיד, כדי להגשים את חלומה המרגש?</t>
  </si>
  <si>
    <t>הסכום הכולל שצריך להצטבר בעתיד</t>
  </si>
  <si>
    <t>הפקדה חד פעמית היום (בומבה)</t>
  </si>
  <si>
    <t>יש כאן סדרה (למרות שגם סכום יחיד) ה-n חייב להיות מספר ההפקדות - מס׳ חודשים</t>
  </si>
  <si>
    <t>כאשר מדובר בסדרה, הריבית חייבת להתאים לתקופת תשלום (חודש)</t>
  </si>
  <si>
    <t>כיצד נמיר את הריבית מריבית שנתית לחודשית?</t>
  </si>
  <si>
    <t>הריבית שנתית, בעיקרון היינו רוצים לחלק ב-12 כדי להגיע לחודשית, אבל בגלל שמדובר בריבית דריבית, זה צריך להיות בחזקה.</t>
  </si>
  <si>
    <t xml:space="preserve">שימו לב - החזקה היא לא 12 החזקה היא 1 חלקי 12 כי אני רוצה חודש אחד מתוך שנה. </t>
  </si>
  <si>
    <t xml:space="preserve">* 100 = </t>
  </si>
  <si>
    <t>יסודות המימון א - סמסטר 2025 ג - הרצאה 1 21.7.2025</t>
  </si>
  <si>
    <t>הרצאה 2 - יסודות המימון א - 28/7/2025 - המשך יישומי חישובים פיננסיים במחשבון פיננסי - ערך עתידי ונוכחי</t>
  </si>
  <si>
    <t>מצד שמאל למעלה</t>
  </si>
  <si>
    <t>פעמיים חץ למטה - ולהצביע על All</t>
  </si>
  <si>
    <t>כפתור ה-EXE נמצא מימין למעלה</t>
  </si>
  <si>
    <t>מימין באמצע</t>
  </si>
  <si>
    <t>בשורה העליונה &gt;&gt;&gt; משמאל &gt;&gt;&gt;</t>
  </si>
  <si>
    <t>רלוונטי רק לסדרות - בסכום יחיד - יהיה 0 ואז EXE</t>
  </si>
  <si>
    <t>מהו הסכום הכולל שיעמוד לרשותו של שירן בתום השנה ה-7?</t>
  </si>
  <si>
    <t>״ההפקדות בסוף כל _____״ (ברירת מחדל)</t>
  </si>
  <si>
    <t>מספר ההפקדות - כי מדובר בסדרה</t>
  </si>
  <si>
    <t>מפקידים כל חודש, 3 שנים = 3 * 12</t>
  </si>
  <si>
    <r>
      <t xml:space="preserve">הריבית </t>
    </r>
    <r>
      <rPr>
        <u/>
        <sz val="12"/>
        <color theme="1"/>
        <rFont val="David"/>
        <family val="2"/>
        <charset val="177"/>
      </rPr>
      <t>לתקופת תשלום - כי מדובר בסדרה</t>
    </r>
  </si>
  <si>
    <t>ההפקדות כל חודש - נדרשת ריבית חודשית (נתונה)</t>
  </si>
  <si>
    <t>נתון</t>
  </si>
  <si>
    <t>לצערנו מספיק ללאפה ללא שתיה</t>
  </si>
  <si>
    <t>להתנסות לבית</t>
  </si>
  <si>
    <t>לתום שנה 4</t>
  </si>
  <si>
    <t>לתום שנה 10</t>
  </si>
  <si>
    <t>לתום שנה 12</t>
  </si>
  <si>
    <t>תרגיל 8.1 - ערך עתידי של סכום יחיד בריבית משתנה התנסות כיתה</t>
  </si>
  <si>
    <t xml:space="preserve">דין הפקיד לפנסיה סכום חד פעמי של 20,000 ש״ח. </t>
  </si>
  <si>
    <t xml:space="preserve">קרן הפנסיה פועלת במסלול דינמי: כזה שתשואתו החודשית במהלך השנתיים הראשונות 1% לחודש (תשואה = ריבית), </t>
  </si>
  <si>
    <t>תשואתה השנתית במהלך 4 השנים לאחר מכן 3% לשנה;</t>
  </si>
  <si>
    <t xml:space="preserve">תשואתה החצי שנתית בכל 4 השנים לאחר מכן היא 1%. </t>
  </si>
  <si>
    <t>בהנחה שדין ימשוך את סך הצבירה בתום השנה ה-10, מהו הסכום הכולל שיעמוד לרשותו?</t>
  </si>
  <si>
    <t xml:space="preserve">תזכורת: במעבר בין החצים - </t>
  </si>
  <si>
    <t>הופכים סימן</t>
  </si>
  <si>
    <t>+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</si>
  <si>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(-)</t>
    </r>
  </si>
  <si>
    <t>שאלה להתנסות כיתה - שינויים בהפקדות</t>
  </si>
  <si>
    <t>מאי מתכננת להפקיד בתום כל חצי שנה סכום של 1,000 ש״ח במשך 4 שנים. הריבית בחסכון בתקופה זו היא 3%</t>
  </si>
  <si>
    <t>לחצי שנה.</t>
  </si>
  <si>
    <t>לאחר מכן תפקיד בתום כל רבעון במשך 6 השנים הבאות סכום של 2,000 ש״ח. הריבית בחסכון בתקופה זו היא 2%</t>
  </si>
  <si>
    <t xml:space="preserve">לרבעון. </t>
  </si>
  <si>
    <t>מהו הסכום הכולל שיעמוד לרשותה של מאי בתום 15 השנים?</t>
  </si>
  <si>
    <t>לאחר מכן תפקיד בתום כל שנה במשך 5 שנים סכום של 4,000 ש״ח (לשנה), הריבית בחסכון בתקופה זו היא 5% לשנה.</t>
  </si>
  <si>
    <t>דניאל מתכנן להפקיד בתום כל חודש סכום של 1,000 ש״ח במשך 4 שנים, לאחר מכן תחול הפסקה בהפקדות (אך צבירת</t>
  </si>
  <si>
    <t xml:space="preserve">הריבית תמשך) שנתיים נוספות. </t>
  </si>
  <si>
    <r>
      <t xml:space="preserve">הריבית </t>
    </r>
    <r>
      <rPr>
        <u/>
        <sz val="12"/>
        <color theme="1"/>
        <rFont val="David"/>
        <family val="2"/>
        <charset val="177"/>
      </rPr>
      <t>השנתית</t>
    </r>
    <r>
      <rPr>
        <sz val="12"/>
        <color theme="1"/>
        <rFont val="David"/>
        <family val="2"/>
        <charset val="177"/>
      </rPr>
      <t xml:space="preserve"> בחסכון היא בשיעור של 12.6825%.</t>
    </r>
  </si>
  <si>
    <t>מהו הסכום הכולל שיעמוד לרשותו של דניאל בתום השנה ה-6?</t>
  </si>
  <si>
    <t>המרת ריבית מתקופה לתקופה</t>
  </si>
  <si>
    <t>בשיטה ״ריבית אפקטיבית״</t>
  </si>
  <si>
    <t>חישוב מתמטי:</t>
  </si>
  <si>
    <t>[(1+12.6825%)^(1/12)-1] * 100 = 1%</t>
  </si>
  <si>
    <t>ההפקדות כאן חודשיות</t>
  </si>
  <si>
    <t>לכן זקוקים לריבית חודשית</t>
  </si>
  <si>
    <t>לכן נדרש להמירה לחודש</t>
  </si>
  <si>
    <t>ראו חישוב משמאל</t>
  </si>
  <si>
    <t>הערה:</t>
  </si>
  <si>
    <t>קוקי הפקיד 50,000 ש״ח ל-8 שנים בתוכנית חסכון הנושאת ריבית של 2% ל-3 חודשים. מהו הסכום הכולל שיעמוד</t>
  </si>
  <si>
    <t>תום שנה 8 = תום חודש 96</t>
  </si>
  <si>
    <t>סך הצבירה לזמן 96 (תום שנה 8) לפני התייחסות לתוספת החד פעמית</t>
  </si>
  <si>
    <t>הוספנו עוד.          90,000</t>
  </si>
  <si>
    <t>סך ה״חד פעמי״   773,753</t>
  </si>
  <si>
    <t>ההפקדות בשלב השני נמשכות עוד שנתיים, שנים 9 ו-10</t>
  </si>
  <si>
    <t>כל היתר (מ-97 עד 120): 24</t>
  </si>
  <si>
    <t>עד ההפרעה (עד זמן 96): 96</t>
  </si>
  <si>
    <t>מבחינתנו:</t>
  </si>
  <si>
    <t>כל שינוי יוצר ״שלב נוסף״:</t>
  </si>
  <si>
    <t>סכום בודד נוסף (הפרעה) בעוד שנה</t>
  </si>
  <si>
    <t>סכום בודד נוסף (הפרעה) בעוד 3 שנים</t>
  </si>
  <si>
    <t>שינוי ריבית בשנה 2</t>
  </si>
  <si>
    <t>סדרה 2,3,4</t>
  </si>
  <si>
    <t>שלב 3
עד התוספת
בסוף שנה 3</t>
  </si>
  <si>
    <t>חד פעמית</t>
  </si>
  <si>
    <t>וסדרה</t>
  </si>
  <si>
    <t>במשך שנה</t>
  </si>
  <si>
    <t xml:space="preserve">והמשך </t>
  </si>
  <si>
    <t xml:space="preserve">צבירת </t>
  </si>
  <si>
    <t>ריבית עוד</t>
  </si>
  <si>
    <t>עד תום שנה 5</t>
  </si>
  <si>
    <t>בזמן 5</t>
  </si>
  <si>
    <t>וצבירה ל-6</t>
  </si>
  <si>
    <t>בודדת+שנה</t>
  </si>
  <si>
    <t>הפרעה+שנה</t>
  </si>
  <si>
    <t>איפוס:</t>
  </si>
  <si>
    <t>Shift</t>
  </si>
  <si>
    <t>EXE, EXE</t>
  </si>
  <si>
    <t>לתום שנה 1</t>
  </si>
  <si>
    <t>לתום שנה 2</t>
  </si>
  <si>
    <t>שאלה מבחינה 2025א - 10 נקודות (מועד א)</t>
  </si>
  <si>
    <t xml:space="preserve">מפקיד כל רבעון 3,000; ריבית שנתית 4.060401% שנה 1, וכל רבעון אחר כך - ריבית רבעונית 2.5%. </t>
  </si>
  <si>
    <t>בסך הכל, החסכון ל-8 שנים.</t>
  </si>
  <si>
    <t>כשמדובר בסדרה רבעונית (כל רבעון) --- כל הריביות צריכות להיות לרבעון. המרת ריבית שנתית לרבעונית מבוצעת כך:</t>
  </si>
  <si>
    <t xml:space="preserve">(1 + r(shana))^(1/4) - 1 </t>
  </si>
  <si>
    <t xml:space="preserve">הנוסחה מתבססת על: 1 ועוד הריבית השנתית, כשכל הביטוי מועלה בחזקת החלק היחסי שצריך (1/4, כי צריך רבעון) ומהכל מפחיתים 1. </t>
  </si>
  <si>
    <t>אחוזים: shift</t>
  </si>
  <si>
    <t>ופתיחת סוגריים</t>
  </si>
  <si>
    <t>חזקה</t>
  </si>
  <si>
    <t>(1 + 4.060401%)^(1/4) - 1 =</t>
  </si>
  <si>
    <t>ריבית לרבעון: 1%</t>
  </si>
  <si>
    <t>שנה ראשונה</t>
  </si>
  <si>
    <t>שנים 2-8</t>
  </si>
  <si>
    <t>שאלה נוספת ממבחן</t>
  </si>
  <si>
    <t>המרת ריבית משנה לחצי שנה:</t>
  </si>
  <si>
    <t>המרת ריבית מרבעון לחצי שנה:</t>
  </si>
  <si>
    <t xml:space="preserve">(1 + r)^(1/2) - 1 </t>
  </si>
  <si>
    <t xml:space="preserve">(1 + r)^(2) - 1 </t>
  </si>
  <si>
    <t>שנה 1</t>
  </si>
  <si>
    <t>שנים 2-6</t>
  </si>
  <si>
    <t>שימו לב: בשנה ה-1 צריך להתאים את הריבית.</t>
  </si>
  <si>
    <t>מדוע? משום שגם בשנה הראשונה ההפקדות כל חצי שנה;</t>
  </si>
  <si>
    <t>ולכן גם במהלכה נדרשת ריבית חצי שנתית.</t>
  </si>
  <si>
    <t>לצערנו, נתנו ריבית לשנה שלמה. לכן נדרשת המרה.</t>
  </si>
  <si>
    <t>המרה משנה לחצי שנה</t>
  </si>
  <si>
    <t>המרה מרבעון לחצי שנה</t>
  </si>
  <si>
    <t>((1+10.25%)^0.5-1)*100 = 5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</si>
  <si>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((1+2%)^2-1)*100 = 4.04</t>
    </r>
  </si>
  <si>
    <t>שיעורי בית עם פתרונות מלאים - לא להגשה</t>
  </si>
  <si>
    <r>
      <t xml:space="preserve">כל החישובים האלו, ונוספים - עוסקים למעשה בערך נוכחי - ביכולת שלנו לתרגם </t>
    </r>
    <r>
      <rPr>
        <b/>
        <sz val="12"/>
        <color rgb="FFFF0000"/>
        <rFont val="David"/>
        <family val="2"/>
        <charset val="177"/>
      </rPr>
      <t>לשווי בהווה</t>
    </r>
    <r>
      <rPr>
        <b/>
        <sz val="12"/>
        <color theme="1"/>
        <rFont val="David"/>
        <family val="2"/>
        <charset val="177"/>
      </rPr>
      <t xml:space="preserve"> </t>
    </r>
  </si>
  <si>
    <t>שאלה 0 - ההבדל בין ערך נוכחי PV וערך עתידי FV</t>
  </si>
  <si>
    <t>לפניכם שתי סיטואציות:</t>
  </si>
  <si>
    <t>א. משה שוקל להפקיד היום לפקדון ל-4 שנים סכום של 200,000 ש״ח, בריבית שנתית של 3%.</t>
  </si>
  <si>
    <t>ב. מציעים למשה להשקיע היום במיזם שצפוי להניב לו בעוד 4 שנים  סכום של 225,102 ש״ח.</t>
  </si>
  <si>
    <t>ידוע שהריבית במשק היא 3% לשנה.</t>
  </si>
  <si>
    <t>מה תוכלו להגיד על הקשר בין הערכים?</t>
  </si>
  <si>
    <t xml:space="preserve">חשבו את הסכום שיעמוד לרשותו של משה במועד הפרעון במקרה א FV, וחלצו את הערך הנוכחי (השווי היום) PV של עסקה ב. </t>
  </si>
  <si>
    <t>EXE אנטר</t>
  </si>
  <si>
    <t>המטרה: לחשב ערך עתידי</t>
  </si>
  <si>
    <t>מפקיד היום (-)</t>
  </si>
  <si>
    <t>אין כאן סדרה (רק בודד)</t>
  </si>
  <si>
    <r>
      <rPr>
        <b/>
        <sz val="12"/>
        <color rgb="FFFF0000"/>
        <rFont val="David"/>
        <family val="2"/>
        <charset val="177"/>
      </rPr>
      <t>CMPD</t>
    </r>
    <r>
      <rPr>
        <sz val="12"/>
        <color theme="1"/>
        <rFont val="David"/>
        <family val="2"/>
        <charset val="177"/>
      </rPr>
      <t xml:space="preserve"> - </t>
    </r>
    <r>
      <rPr>
        <b/>
        <sz val="12"/>
        <color theme="1"/>
        <rFont val="David"/>
        <family val="2"/>
        <charset val="177"/>
      </rPr>
      <t>א</t>
    </r>
    <r>
      <rPr>
        <sz val="12"/>
        <color theme="1"/>
        <rFont val="David"/>
        <family val="2"/>
        <charset val="177"/>
      </rPr>
      <t xml:space="preserve"> - Calcualte FV</t>
    </r>
  </si>
  <si>
    <r>
      <rPr>
        <b/>
        <sz val="12"/>
        <color rgb="FFFF0000"/>
        <rFont val="David"/>
        <family val="2"/>
        <charset val="177"/>
      </rPr>
      <t>CMPD</t>
    </r>
    <r>
      <rPr>
        <sz val="12"/>
        <color theme="1"/>
        <rFont val="David"/>
        <family val="2"/>
        <charset val="177"/>
      </rPr>
      <t xml:space="preserve"> - ב - Calculate PV</t>
    </r>
  </si>
  <si>
    <t>המטרה: לחשב ערך נוכחי</t>
  </si>
  <si>
    <t>התשובה - הערך המחושב</t>
  </si>
  <si>
    <t>אם הערך העתידי של שתי עסקאות הוא זהה (בעסקה א חישבתי, בעסקה ב נתון - 225,102) - גם הערך הנוכחי שלהן זהה.</t>
  </si>
  <si>
    <t>בהנחת תנאים זהים כמובן.</t>
  </si>
  <si>
    <t>כעת, לאחר הבהרה ראשונית טכנית זו, נתחיל לעבוד על המקרים השונים בחישוב ערך נוכחי במצבים מגוונים:</t>
  </si>
  <si>
    <t>ערך נוכחי של סכום יחיד בריבית קבועה / בריבית משתנה / של סדרה / של מספר סדרות.</t>
  </si>
  <si>
    <t>שייקה, מדוע השתמשת בריבית שנתית במקרה זה, ולא המרת אותה לריבית חודשית, כמו שביצענו בתרגילים רבים בעבר?</t>
  </si>
  <si>
    <t xml:space="preserve">המקרה שבו חייבים להמיר את הריבית לחודשית הוא כאשר מדובר בסדרה / סדרות שכוללות הפקדה כל חודש. </t>
  </si>
  <si>
    <r>
      <rPr>
        <b/>
        <sz val="12"/>
        <color theme="1"/>
        <rFont val="David"/>
        <family val="2"/>
        <charset val="177"/>
      </rPr>
      <t>תשובה</t>
    </r>
    <r>
      <rPr>
        <sz val="12"/>
        <color theme="1"/>
        <rFont val="David"/>
        <family val="2"/>
        <charset val="177"/>
      </rPr>
      <t>: כאשר מבצעים ערך נוכחי / עתידי של סכום יחיד - אפשר להשתמש באיזו ריבית שנרצה;</t>
    </r>
  </si>
  <si>
    <t>כי בסדרות: ה-%I חייב להתאים לתקופת תשלום בסדרה.</t>
  </si>
  <si>
    <t>לבית</t>
  </si>
  <si>
    <t>שאלה 1.0.1 - ערך נוכחי של סכום יחיד - עם ערכים חודשיים, רבעוניים ושנתיים</t>
  </si>
  <si>
    <t>שאלת חאלד DJ :</t>
  </si>
  <si>
    <t xml:space="preserve">דיג׳יי חאלד שוקל להתקשר בפרויקט שצפוי להניב לו בעוד 10 שנים סכום של 500,000 ש״ח. </t>
  </si>
  <si>
    <t>נדרש - מה המחיר המירבי שיסכים חאלד לשלם היום בעד הפרויקט תחת כל אחת מההנחות הבאות:</t>
  </si>
  <si>
    <t>א. הריבית השנתית 4%.</t>
  </si>
  <si>
    <t>ב. הריבית החודשית 0.5%.</t>
  </si>
  <si>
    <t>ג. הריבית הרבעונית 1%.</t>
  </si>
  <si>
    <t>המחיר המירבי שאסכים לשלם היום = שווי להיום = PV.</t>
  </si>
  <si>
    <t>לכן השאלה מבקשת שנחלץ PV תחת כל אחת מההנחות.</t>
  </si>
  <si>
    <t>שימו לב: כל הנחה כאן היא נפרדת, יוצרת שאלה אחרת.</t>
  </si>
  <si>
    <t>המטרה איננה להשוות בין המצבים, אלא לחשב PV בנפרד לכל מצב.</t>
  </si>
  <si>
    <t xml:space="preserve">התשובה הסופית (א) - השווי הוא 337,782 ש״ח </t>
  </si>
  <si>
    <t>מסימן המינוס נתעלם בתשובה הסופית, משום שהוא רק מייצג</t>
  </si>
  <si>
    <t xml:space="preserve">את העובדה שנסכים לשלם סכום זה. </t>
  </si>
  <si>
    <t>תשובה</t>
  </si>
  <si>
    <t>סופית ב</t>
  </si>
  <si>
    <t>סופית ג</t>
  </si>
  <si>
    <t>שאלה 2.0.1 - ערך נוכחי של סדרה ״קלה״</t>
  </si>
  <si>
    <t xml:space="preserve">הסוכן של דיג׳יי חאלד הציע לו הזדמנות השקעה שצפויה להניב לו תקבול חודשי בסך 3,000 ש״ח, בסוף כל חודש, </t>
  </si>
  <si>
    <t xml:space="preserve">לתקופה של 10 שנים. </t>
  </si>
  <si>
    <t xml:space="preserve">ידוע לכם שהריבית אליה כפוף הדיג׳יי היא 8% לשנה. </t>
  </si>
  <si>
    <t>נדרש: מהו הסכום המירבי אותו יסכים לשלם היום דיג׳יי עבור הזדמנות ההשקעה.</t>
  </si>
  <si>
    <t>הואיל ומדובר בסדרה - מספר התשלומים = כמספר החודשים</t>
  </si>
  <si>
    <t>חישוב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</si>
  <si>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=10*12</t>
    </r>
  </si>
  <si>
    <t>בסדרות - חייבים ריבית לתקופת תשלום (חודש) - אך נתונה לשנה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</si>
  <si>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((1 + 8%)^(1/12)-1)*100</t>
    </r>
  </si>
  <si>
    <t>תקבול = הכנסה = תזרים חיובי (+) חיובי קבוע</t>
  </si>
  <si>
    <t>סכום חד פעמי בעתיד - כאן אין</t>
  </si>
  <si>
    <t xml:space="preserve">הסכום המירבי ש-DJ יסכים לשלם היום בעד הנכס הוא 250,297 ש״ח. </t>
  </si>
  <si>
    <t>שאלה 2.0.2 - ערך נוכחי של סדרה ״קלה״ + סכום חד פעמי ״בסוף״ (חישוב PV כשקיימים נתוני PMT וגם FV)</t>
  </si>
  <si>
    <t xml:space="preserve">בהתאם להסדר ההשקעה, הוא צפוי לקבל הכנסה נקייה בתום כל חודש במשך 4 שנים בסכום של 5,000 ש״ח. </t>
  </si>
  <si>
    <t xml:space="preserve">בנוסף, ידוע שבתום השנה ה-4 יוכל למכור את המכונה חזרה לחברה בתמורה ל-78,000 ש״ח. </t>
  </si>
  <si>
    <t>בהנחה שהריבית החודשית 1%, מהו הסכום המירבי שיסכים הייטק לשלם היום בעד המכונה.</t>
  </si>
  <si>
    <t>בשונה מהשאלה הקודמת</t>
  </si>
  <si>
    <t>כאן המשקיע מקבל:</t>
  </si>
  <si>
    <t>גם סכום חודשי קבוע PMT</t>
  </si>
  <si>
    <t>וגם סכום חד פעמי בסיום</t>
  </si>
  <si>
    <t>העסקה FV</t>
  </si>
  <si>
    <t xml:space="preserve">הבחור ההייטקי שלנו מעוניין לרכוש מכונה לחטיפים משמינים שתוצב בקמפוס המרכז האקדמי. </t>
  </si>
  <si>
    <t>שאלה 5 - יישום כלכלי - סכום הלוואה כערך נוכחי</t>
  </si>
  <si>
    <t>שאלה 5.0.1 - יישומי ערך נוכחי בסדרות - סכום הלוואה (מדוע סכום הלוואה ניתן לחישוב כ-PV)</t>
  </si>
  <si>
    <t>אביב מעוניינת ליטול הלוואה (לקחת הלוואה).</t>
  </si>
  <si>
    <t xml:space="preserve">מטרת ההלוואה: חתונה. </t>
  </si>
  <si>
    <t xml:space="preserve">בבדיקה שערך הבנק בחשבונה של אביב והלאקי גיא (עמית - בן הזוג) התגלה שכושר ההחזר המשותף של שניהם  </t>
  </si>
  <si>
    <t>הוא בסך 4,000 ש״ח לחודש.</t>
  </si>
  <si>
    <t>הצורך הוא לחסל את ההלוואה בעוד 5 שנים, כאשר ידוע שבמועד זה יוכלו לשלם גם את פדיון קרן ההשתלמות</t>
  </si>
  <si>
    <t>של עמית בסך 70,000 ש״ח.</t>
  </si>
  <si>
    <t>נדרש: בהנחה שהריבית השנתית שהבנק דורש מהזוג היא 6% לשנה, מהו סכום ההלוואה שיוכלו ליטול?</t>
  </si>
  <si>
    <t xml:space="preserve">משפט: סכום הלוואה שלוקחים היום - PV =&gt; זהו הערך הנוכחי של התשלומים בעתיד. </t>
  </si>
  <si>
    <t>כלומר - התשלומים העתידיים הקבועים - PMT, התשלום החד פעמי בסוף FV, ונחלץ PV = סכום ההלוואה היום.</t>
  </si>
  <si>
    <t>תשלומים כל חודש 5 שנים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</si>
  <si>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5*12</t>
    </r>
  </si>
  <si>
    <t>נדרשת ריבית לתקופת תשלום (סדרה חודשית) = ריבית לחודש, נתונה ריבית שנתית</t>
  </si>
  <si>
    <t>r</t>
  </si>
  <si>
    <t>הריבית שנתנו לי: 6% לשנה</t>
  </si>
  <si>
    <t>רצוי</t>
  </si>
  <si>
    <t>חודש אחד (1)</t>
  </si>
  <si>
    <t>מצוי</t>
  </si>
  <si>
    <t>התקופה הנתונה - שנה (12 חודשים)</t>
  </si>
  <si>
    <t>התשלום (מוציאים כסף, לכן במינוס) החודשי הקבוע</t>
  </si>
  <si>
    <t>ה-FV הוא סכום חד פעמי נוסף (בומבה) שמשלמים (-) בסוף</t>
  </si>
  <si>
    <t>בנתוני השאלה נאמר שבסיום העסקה נשלם חד פעמית 70,000</t>
  </si>
  <si>
    <t>מה למדתי מהשאלה הזו?</t>
  </si>
  <si>
    <t>מבחינת ניסוח - מעבר לשאלות כגון:</t>
  </si>
  <si>
    <t>מה הערך הנוכחי של _____ PV</t>
  </si>
  <si>
    <t>מה הסכום המירבי שתסכימו לשלם על _____ PV</t>
  </si>
  <si>
    <t>מה השווי היום של _____ PV</t>
  </si>
  <si>
    <t>חדש!!! ״מהו סכום ההלוואה שתוכל לקחת היום _____ PV״</t>
  </si>
  <si>
    <t>שאלה 5.0.2 - ערך נוכחי PV של סדרה ״דחויה״ (שבמקום להתחיל כל חודש, מתחילה ״מאוחר״)</t>
  </si>
  <si>
    <t>אביב יודעת שאם תשקיע היום במכונת נקניקיות אוטומטית במסדרון המרכז האקדמי, תוכל, לאחר קמפיין פרסומי</t>
  </si>
  <si>
    <t xml:space="preserve">שיימשך שנתיים, להתחיל לקבל החל מתום החודש ה-25 סכום חודשי של 4,000 ש״ח נטו, במשך 80 חודשים. </t>
  </si>
  <si>
    <t xml:space="preserve">מהו הערך הנוכחי (PV) של התקבולים בגין המכונה, להיום (זמן 0). </t>
  </si>
  <si>
    <t>הריבית החודשית: 1%.</t>
  </si>
  <si>
    <t>n = 80</t>
  </si>
  <si>
    <t>pmt = 4000</t>
  </si>
  <si>
    <t>FV = 0</t>
  </si>
  <si>
    <t>Solve PV</t>
  </si>
  <si>
    <t>כאשר מחשבים PV של</t>
  </si>
  <si>
    <t>סדרה דחויה (שהתחילה</t>
  </si>
  <si>
    <t xml:space="preserve">לאחר יותר מתקופה אחת), </t>
  </si>
  <si>
    <t>אזכור כלל:</t>
  </si>
  <si>
    <t>התוצאה המתקבלת ב-PV</t>
  </si>
  <si>
    <t>היא ה-FV</t>
  </si>
  <si>
    <t xml:space="preserve">לסדרה היא ה-FV </t>
  </si>
  <si>
    <t>לזמן ״אחת אחורה״</t>
  </si>
  <si>
    <t>תקופה אחת לפני</t>
  </si>
  <si>
    <t>שהתחילו התשלומים</t>
  </si>
  <si>
    <t>תשלום ראשון</t>
  </si>
  <si>
    <t>״אחת אחורה״</t>
  </si>
  <si>
    <t>FV(24)</t>
  </si>
  <si>
    <t>n = 24</t>
  </si>
  <si>
    <t>pmt = 0</t>
  </si>
  <si>
    <t>FV = 219552.822</t>
  </si>
  <si>
    <t xml:space="preserve">Solve PV </t>
  </si>
  <si>
    <t>PV = -172912</t>
  </si>
  <si>
    <t>התשובה הסופית:</t>
  </si>
  <si>
    <t>שווי ההשקעה 172,912 ש״ח</t>
  </si>
  <si>
    <t>במחשבון ישירות:</t>
  </si>
  <si>
    <t>בערך נוכחי של סדרה דחויה תמיד עובדים ״מהסוף להתחלה״ כלומר מתחילים מהסדרה עצמה, 80 תשלומים,</t>
  </si>
  <si>
    <t>וה-PV שלה הופך להיות ה-FV בסימן הפוך:</t>
  </si>
  <si>
    <t>טיפול בסדרה</t>
  </si>
  <si>
    <t>בשאלה נתון:</t>
  </si>
  <si>
    <t>זכאים לקבל מזמן 25 ואילך</t>
  </si>
  <si>
    <t>ריבית חודשית נתונה 1%</t>
  </si>
  <si>
    <t>שמונים תשלומים חודשיים (שאקבל!) בסך 4,000 כל אחד</t>
  </si>
  <si>
    <r>
      <t xml:space="preserve">מזמן </t>
    </r>
    <r>
      <rPr>
        <b/>
        <sz val="12"/>
        <color theme="1"/>
        <rFont val="David"/>
        <family val="2"/>
        <charset val="177"/>
      </rPr>
      <t>25</t>
    </r>
    <r>
      <rPr>
        <sz val="12"/>
        <color theme="1"/>
        <rFont val="David"/>
        <family val="2"/>
        <charset val="177"/>
      </rPr>
      <t xml:space="preserve"> ואילך</t>
    </r>
  </si>
  <si>
    <t>טיפול בהתאמה</t>
  </si>
  <si>
    <t>מזמן 24 ל-0</t>
  </si>
  <si>
    <t xml:space="preserve">התשובה הסופית שמשקפת את השווי / הערך לזמן 0 </t>
  </si>
  <si>
    <t xml:space="preserve">היא ה-PV שחושב ב-SOLVE האחרון. </t>
  </si>
  <si>
    <t xml:space="preserve">מקליד תשובה סופית: השווי הוא 172,912. </t>
  </si>
  <si>
    <t>שאלה 5.0.3 - ערך נוכחי PV של סדרה ״דחויה״ (שבמקום להתחיל כל תקופה, מתחילה ״מאוחר״)</t>
  </si>
  <si>
    <t>הראשון הוא בעוד שלוש שנים וחצי בדיוק (רמז: מספר הרבעונים = מספר השנים * 4) בהנחה שהריבית לרבעון היא 2%.</t>
  </si>
  <si>
    <t>תבנית עבודה</t>
  </si>
  <si>
    <t>יישום תבנית עבודה</t>
  </si>
  <si>
    <t>להתייחס לסוף</t>
  </si>
  <si>
    <t>לסדרה עצמה</t>
  </si>
  <si>
    <t>תוצאת ה-PV</t>
  </si>
  <si>
    <t>לנקודה אחת אחורה</t>
  </si>
  <si>
    <t>מספר תשלומים
 בסדרה</t>
  </si>
  <si>
    <t>ריבית 
לתקופת תשלום</t>
  </si>
  <si>
    <t>הסכום התקופתי</t>
  </si>
  <si>
    <t>סכום בסוף (אם יש)</t>
  </si>
  <si>
    <r>
      <t xml:space="preserve">מהו הערך הנוכחי של סדרת תקבולים (כסף שמקבלים) </t>
    </r>
    <r>
      <rPr>
        <u/>
        <sz val="12"/>
        <color theme="1"/>
        <rFont val="David"/>
        <family val="2"/>
        <charset val="177"/>
      </rPr>
      <t>בסך 1,000 ש״ח</t>
    </r>
    <r>
      <rPr>
        <sz val="12"/>
        <color theme="1"/>
        <rFont val="David"/>
        <family val="2"/>
        <charset val="177"/>
      </rPr>
      <t xml:space="preserve"> בתום כל רבעון במשך 5 שנים, אם המועד שבו מתקבל התקבול</t>
    </r>
  </si>
  <si>
    <t>בסימן הפוך</t>
  </si>
  <si>
    <t>0 דחייה</t>
  </si>
  <si>
    <t>התאמה אחורה</t>
  </si>
  <si>
    <t>התאמה</t>
  </si>
  <si>
    <t>נוספת</t>
  </si>
  <si>
    <t xml:space="preserve">מ-FV </t>
  </si>
  <si>
    <t>לזמן</t>
  </si>
  <si>
    <t>SOLVE סופי</t>
  </si>
  <si>
    <t>התקבול הראשון</t>
  </si>
  <si>
    <t>בעוד 14 רבעונים:</t>
  </si>
  <si>
    <t xml:space="preserve">3.5 * 4 = </t>
  </si>
  <si>
    <t>לכן ה-PV שמוביל אחת אחורה</t>
  </si>
  <si>
    <t xml:space="preserve">מוביל ל-13 </t>
  </si>
  <si>
    <t>כאשר מ-13 ל-0 זו תקופת הדחייה</t>
  </si>
  <si>
    <t xml:space="preserve">התשובה הסופית: השווי 12,639 ש״ח.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</si>
</sst>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43" formatCode="_(* #,##0.00_);_(* \(#,##0.00\);_(* &quot;-&quot;??_);_(@_)"/>
    <numFmt numFmtId="164" formatCode="0.000"/>
    <numFmt numFmtId="165" formatCode="0.00000"/>
    <numFmt numFmtId="166" formatCode="0.000%"/>
    <numFmt numFmtId="167" formatCode="0.0000%"/>
    <numFmt numFmtId="168" formatCode="0.00000%"/>
    <numFmt numFmtId="169" formatCode="0.0000"/>
    <numFmt numFmtId="170" formatCode="0.0"/>
    <numFmt numFmtId="171" formatCode="0.000000"/>
    <numFmt numFmtId="172" formatCode="0.000000%"/>
    <numFmt numFmtId="173" formatCode="_(* #,##0.000000_);_(* \(#,##0.000000\);_(* &quot;-&quot;??_);_(@_)"/>
    <numFmt numFmtId="174" formatCode="_(* #,##0.00000000_);_(* \(#,##0.00000000\);_(* &quot;-&quot;??_);_(@_)"/>
  </numFmts>
  <fonts count="33" x14ac:knownFonts="1">
    <font>
      <sz val="12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sz val="12"/>
      <color theme="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2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u/>
      <sz val="12"/>
      <color rgb="FFFF0000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4"/>
      <color theme="1"/>
      <name val="David"/>
      <family val="2"/>
      <charset val="177"/>
    </font>
    <font>
      <sz val="14"/>
      <color theme="1"/>
      <name val="David"/>
      <family val="2"/>
      <charset val="177"/>
    </font>
    <font>
      <b/>
      <sz val="16"/>
      <color theme="1"/>
      <name val="David"/>
      <family val="2"/>
      <charset val="177"/>
    </font>
    <font>
      <sz val="16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b/>
      <sz val="12"/>
      <color rgb="FFFF8AD8"/>
      <name val="David"/>
      <family val="2"/>
      <charset val="177"/>
    </font>
    <font>
      <sz val="8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b/>
      <sz val="9"/>
      <color theme="1"/>
      <name val="David"/>
      <family val="2"/>
      <charset val="177"/>
    </font>
    <font>
      <u/>
      <sz val="12"/>
      <color rgb="FFFF0000"/>
      <name val="David"/>
      <family val="2"/>
      <charset val="177"/>
    </font>
    <font>
      <b/>
      <sz val="24"/>
      <color theme="1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theme="5" tint="0.59999389629810485"/>
      <name val="David"/>
      <family val="2"/>
      <charset val="177"/>
    </font>
    <font>
      <sz val="11"/>
      <color theme="1"/>
      <name val="David"/>
      <family val="2"/>
      <charset val="177"/>
    </font>
    <font>
      <sz val="12"/>
      <color rgb="FF00B050"/>
      <name val="David"/>
      <family val="2"/>
      <charset val="177"/>
    </font>
    <font>
      <b/>
      <sz val="16"/>
      <name val="David"/>
      <family val="2"/>
      <charset val="177"/>
    </font>
    <font>
      <b/>
      <sz val="14"/>
      <name val="David"/>
      <family val="2"/>
      <charset val="177"/>
    </font>
    <font>
      <sz val="16"/>
      <name val="David"/>
      <family val="2"/>
      <charset val="177"/>
    </font>
    <font>
      <b/>
      <sz val="11"/>
      <color theme="1"/>
      <name val="David"/>
      <family val="2"/>
      <charset val="177"/>
    </font>
  </fonts>
  <fills count="3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8EFA00"/>
        <bgColor indexed="64"/>
      </patternFill>
    </fill>
    <fill>
      <patternFill patternType="solid">
        <fgColor rgb="FFFFD579"/>
        <bgColor indexed="64"/>
      </patternFill>
    </fill>
    <fill>
      <patternFill patternType="solid">
        <fgColor rgb="FFD5FC79"/>
        <bgColor indexed="64"/>
      </patternFill>
    </fill>
    <fill>
      <patternFill patternType="solid">
        <fgColor rgb="FFD883FF"/>
        <bgColor indexed="64"/>
      </patternFill>
    </fill>
    <fill>
      <patternFill patternType="solid">
        <fgColor rgb="FFE8FFC5"/>
        <bgColor indexed="64"/>
      </patternFill>
    </fill>
    <fill>
      <patternFill patternType="solid">
        <fgColor rgb="FF73FDD6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/>
        <bgColor indexed="64"/>
      </patternFill>
    </fill>
  </fills>
  <borders count="2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auto="1"/>
      </left>
      <right style="thick">
        <color auto="1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302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1" xfId="0" applyFont="1" applyBorder="1"/>
    <xf numFmtId="0" fontId="3" fillId="0" borderId="2" xfId="0" applyFont="1" applyBorder="1"/>
    <xf numFmtId="0" fontId="3" fillId="0" borderId="3" xfId="0" applyFont="1" applyBorder="1"/>
    <xf numFmtId="0" fontId="2" fillId="0" borderId="2" xfId="0" applyFont="1" applyBorder="1"/>
    <xf numFmtId="0" fontId="2" fillId="0" borderId="3" xfId="0" applyFont="1" applyBorder="1"/>
    <xf numFmtId="0" fontId="3" fillId="2" borderId="1" xfId="0" applyFont="1" applyFill="1" applyBorder="1"/>
    <xf numFmtId="0" fontId="3" fillId="2" borderId="2" xfId="0" applyFont="1" applyFill="1" applyBorder="1"/>
    <xf numFmtId="0" fontId="3" fillId="2" borderId="3" xfId="0" applyFont="1" applyFill="1" applyBorder="1"/>
    <xf numFmtId="0" fontId="3" fillId="3" borderId="0" xfId="0" applyFont="1" applyFill="1"/>
    <xf numFmtId="0" fontId="2" fillId="0" borderId="0" xfId="0" applyFont="1" applyAlignment="1">
      <alignment horizontal="center"/>
    </xf>
    <xf numFmtId="0" fontId="4" fillId="5" borderId="0" xfId="0" applyFont="1" applyFill="1" applyAlignment="1">
      <alignment horizontal="center"/>
    </xf>
    <xf numFmtId="0" fontId="5" fillId="0" borderId="0" xfId="0" applyFont="1"/>
    <xf numFmtId="1" fontId="2" fillId="4" borderId="0" xfId="0" applyNumberFormat="1" applyFont="1" applyFill="1" applyAlignment="1">
      <alignment horizontal="center"/>
    </xf>
    <xf numFmtId="164" fontId="2" fillId="0" borderId="0" xfId="0" applyNumberFormat="1" applyFont="1" applyAlignment="1">
      <alignment horizontal="center"/>
    </xf>
    <xf numFmtId="2" fontId="6" fillId="4" borderId="0" xfId="0" applyNumberFormat="1" applyFont="1" applyFill="1" applyAlignment="1">
      <alignment horizontal="center"/>
    </xf>
    <xf numFmtId="3" fontId="2" fillId="0" borderId="0" xfId="0" applyNumberFormat="1" applyFont="1" applyAlignment="1">
      <alignment horizontal="center"/>
    </xf>
    <xf numFmtId="165" fontId="6" fillId="4" borderId="0" xfId="0" applyNumberFormat="1" applyFont="1" applyFill="1" applyAlignment="1">
      <alignment horizontal="center"/>
    </xf>
    <xf numFmtId="166" fontId="2" fillId="2" borderId="0" xfId="1" applyNumberFormat="1" applyFont="1" applyFill="1"/>
    <xf numFmtId="0" fontId="3" fillId="0" borderId="4" xfId="0" applyFont="1" applyBorder="1"/>
    <xf numFmtId="0" fontId="3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2" fillId="2" borderId="0" xfId="0" applyFont="1" applyFill="1"/>
    <xf numFmtId="0" fontId="2" fillId="0" borderId="4" xfId="0" applyFont="1" applyBorder="1"/>
    <xf numFmtId="0" fontId="2" fillId="0" borderId="5" xfId="0" applyFont="1" applyBorder="1"/>
    <xf numFmtId="0" fontId="4" fillId="6" borderId="0" xfId="0" applyFont="1" applyFill="1" applyAlignment="1">
      <alignment horizontal="center"/>
    </xf>
    <xf numFmtId="0" fontId="2" fillId="0" borderId="0" xfId="0" applyFont="1" applyAlignment="1">
      <alignment horizontal="right"/>
    </xf>
    <xf numFmtId="0" fontId="4" fillId="7" borderId="0" xfId="0" applyFont="1" applyFill="1" applyAlignment="1">
      <alignment horizontal="center"/>
    </xf>
    <xf numFmtId="0" fontId="3" fillId="8" borderId="0" xfId="0" applyFont="1" applyFill="1"/>
    <xf numFmtId="2" fontId="2" fillId="0" borderId="0" xfId="0" applyNumberFormat="1" applyFont="1" applyAlignment="1">
      <alignment horizontal="center"/>
    </xf>
    <xf numFmtId="2" fontId="3" fillId="9" borderId="0" xfId="0" applyNumberFormat="1" applyFont="1" applyFill="1" applyAlignment="1">
      <alignment horizontal="center"/>
    </xf>
    <xf numFmtId="0" fontId="3" fillId="10" borderId="13" xfId="0" applyFont="1" applyFill="1" applyBorder="1"/>
    <xf numFmtId="0" fontId="2" fillId="10" borderId="13" xfId="0" applyFont="1" applyFill="1" applyBorder="1"/>
    <xf numFmtId="0" fontId="4" fillId="11" borderId="0" xfId="0" applyFont="1" applyFill="1" applyAlignment="1">
      <alignment horizontal="center"/>
    </xf>
    <xf numFmtId="2" fontId="3" fillId="2" borderId="0" xfId="0" applyNumberFormat="1" applyFont="1" applyFill="1" applyAlignment="1">
      <alignment horizontal="center"/>
    </xf>
    <xf numFmtId="2" fontId="2" fillId="2" borderId="0" xfId="0" applyNumberFormat="1" applyFont="1" applyFill="1" applyAlignment="1">
      <alignment horizontal="center"/>
    </xf>
    <xf numFmtId="0" fontId="13" fillId="0" borderId="0" xfId="0" applyFont="1" applyAlignment="1">
      <alignment horizontal="center"/>
    </xf>
    <xf numFmtId="0" fontId="2" fillId="0" borderId="15" xfId="0" applyFont="1" applyBorder="1" applyAlignment="1">
      <alignment horizontal="center"/>
    </xf>
    <xf numFmtId="2" fontId="3" fillId="4" borderId="0" xfId="0" applyNumberFormat="1" applyFont="1" applyFill="1" applyAlignment="1">
      <alignment horizontal="center"/>
    </xf>
    <xf numFmtId="2" fontId="3" fillId="12" borderId="14" xfId="0" applyNumberFormat="1" applyFont="1" applyFill="1" applyBorder="1" applyAlignment="1">
      <alignment horizontal="center"/>
    </xf>
    <xf numFmtId="2" fontId="10" fillId="12" borderId="14" xfId="0" applyNumberFormat="1" applyFont="1" applyFill="1" applyBorder="1" applyAlignment="1">
      <alignment horizontal="center"/>
    </xf>
    <xf numFmtId="0" fontId="11" fillId="0" borderId="15" xfId="0" applyFont="1" applyBorder="1" applyAlignment="1">
      <alignment horizontal="center"/>
    </xf>
    <xf numFmtId="0" fontId="3" fillId="13" borderId="0" xfId="0" applyFont="1" applyFill="1"/>
    <xf numFmtId="0" fontId="2" fillId="14" borderId="0" xfId="0" applyFont="1" applyFill="1"/>
    <xf numFmtId="2" fontId="3" fillId="2" borderId="14" xfId="0" applyNumberFormat="1" applyFont="1" applyFill="1" applyBorder="1" applyAlignment="1">
      <alignment horizontal="center"/>
    </xf>
    <xf numFmtId="0" fontId="4" fillId="0" borderId="0" xfId="0" applyFont="1" applyAlignment="1">
      <alignment horizontal="center"/>
    </xf>
    <xf numFmtId="2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center"/>
    </xf>
    <xf numFmtId="0" fontId="5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3" fontId="5" fillId="0" borderId="0" xfId="0" applyNumberFormat="1" applyFont="1" applyAlignment="1">
      <alignment horizontal="center"/>
    </xf>
    <xf numFmtId="0" fontId="2" fillId="0" borderId="13" xfId="0" applyFont="1" applyBorder="1"/>
    <xf numFmtId="0" fontId="2" fillId="0" borderId="13" xfId="0" applyFont="1" applyBorder="1" applyAlignment="1">
      <alignment horizontal="center"/>
    </xf>
    <xf numFmtId="0" fontId="2" fillId="2" borderId="12" xfId="0" applyFont="1" applyFill="1" applyBorder="1" applyAlignment="1">
      <alignment horizontal="center"/>
    </xf>
    <xf numFmtId="0" fontId="2" fillId="0" borderId="13" xfId="0" applyFont="1" applyBorder="1" applyAlignment="1">
      <alignment horizontal="center" wrapText="1"/>
    </xf>
    <xf numFmtId="0" fontId="14" fillId="6" borderId="0" xfId="0" applyFont="1" applyFill="1"/>
    <xf numFmtId="4" fontId="2" fillId="10" borderId="0" xfId="0" applyNumberFormat="1" applyFont="1" applyFill="1" applyAlignment="1">
      <alignment horizontal="center"/>
    </xf>
    <xf numFmtId="40" fontId="2" fillId="2" borderId="0" xfId="0" applyNumberFormat="1" applyFont="1" applyFill="1" applyAlignment="1">
      <alignment horizontal="center"/>
    </xf>
    <xf numFmtId="40" fontId="2" fillId="10" borderId="0" xfId="0" applyNumberFormat="1" applyFont="1" applyFill="1" applyAlignment="1">
      <alignment horizontal="center"/>
    </xf>
    <xf numFmtId="4" fontId="2" fillId="2" borderId="0" xfId="0" applyNumberFormat="1" applyFont="1" applyFill="1" applyAlignment="1">
      <alignment horizontal="center"/>
    </xf>
    <xf numFmtId="40" fontId="2" fillId="15" borderId="0" xfId="0" applyNumberFormat="1" applyFont="1" applyFill="1" applyAlignment="1">
      <alignment horizontal="center"/>
    </xf>
    <xf numFmtId="4" fontId="2" fillId="15" borderId="0" xfId="0" applyNumberFormat="1" applyFont="1" applyFill="1" applyAlignment="1">
      <alignment horizontal="center"/>
    </xf>
    <xf numFmtId="40" fontId="13" fillId="9" borderId="0" xfId="0" applyNumberFormat="1" applyFont="1" applyFill="1" applyAlignment="1">
      <alignment horizontal="center"/>
    </xf>
    <xf numFmtId="0" fontId="6" fillId="0" borderId="0" xfId="0" applyFont="1" applyAlignment="1">
      <alignment horizontal="center"/>
    </xf>
    <xf numFmtId="4" fontId="2" fillId="0" borderId="0" xfId="0" applyNumberFormat="1" applyFont="1" applyAlignment="1">
      <alignment horizontal="center"/>
    </xf>
    <xf numFmtId="40" fontId="13" fillId="0" borderId="0" xfId="0" applyNumberFormat="1" applyFont="1" applyAlignment="1">
      <alignment horizontal="center"/>
    </xf>
    <xf numFmtId="40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 wrapText="1"/>
    </xf>
    <xf numFmtId="0" fontId="3" fillId="2" borderId="0" xfId="0" applyFont="1" applyFill="1"/>
    <xf numFmtId="14" fontId="3" fillId="2" borderId="0" xfId="0" applyNumberFormat="1" applyFont="1" applyFill="1"/>
    <xf numFmtId="0" fontId="3" fillId="9" borderId="0" xfId="0" applyFont="1" applyFill="1"/>
    <xf numFmtId="0" fontId="9" fillId="0" borderId="0" xfId="0" applyFont="1"/>
    <xf numFmtId="0" fontId="4" fillId="6" borderId="0" xfId="0" applyFont="1" applyFill="1"/>
    <xf numFmtId="2" fontId="6" fillId="2" borderId="0" xfId="0" applyNumberFormat="1" applyFont="1" applyFill="1" applyAlignment="1">
      <alignment horizontal="center"/>
    </xf>
    <xf numFmtId="3" fontId="6" fillId="0" borderId="0" xfId="0" applyNumberFormat="1" applyFont="1" applyAlignment="1">
      <alignment horizontal="center"/>
    </xf>
    <xf numFmtId="0" fontId="2" fillId="9" borderId="0" xfId="0" applyFont="1" applyFill="1"/>
    <xf numFmtId="165" fontId="20" fillId="3" borderId="0" xfId="0" applyNumberFormat="1" applyFont="1" applyFill="1" applyAlignment="1">
      <alignment horizontal="center"/>
    </xf>
    <xf numFmtId="165" fontId="3" fillId="3" borderId="0" xfId="0" applyNumberFormat="1" applyFont="1" applyFill="1" applyAlignment="1">
      <alignment horizontal="center"/>
    </xf>
    <xf numFmtId="1" fontId="20" fillId="3" borderId="0" xfId="0" applyNumberFormat="1" applyFont="1" applyFill="1" applyAlignment="1">
      <alignment horizontal="center"/>
    </xf>
    <xf numFmtId="3" fontId="2" fillId="0" borderId="0" xfId="0" applyNumberFormat="1" applyFont="1"/>
    <xf numFmtId="14" fontId="2" fillId="0" borderId="0" xfId="0" applyNumberFormat="1" applyFont="1"/>
    <xf numFmtId="0" fontId="2" fillId="16" borderId="0" xfId="0" applyFont="1" applyFill="1"/>
    <xf numFmtId="0" fontId="3" fillId="16" borderId="0" xfId="0" applyFont="1" applyFill="1"/>
    <xf numFmtId="0" fontId="3" fillId="10" borderId="0" xfId="0" applyFont="1" applyFill="1"/>
    <xf numFmtId="0" fontId="2" fillId="2" borderId="0" xfId="0" applyFont="1" applyFill="1" applyAlignment="1">
      <alignment horizontal="center"/>
    </xf>
    <xf numFmtId="0" fontId="4" fillId="17" borderId="0" xfId="0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2" fontId="3" fillId="10" borderId="0" xfId="0" applyNumberFormat="1" applyFont="1" applyFill="1" applyAlignment="1">
      <alignment horizontal="center"/>
    </xf>
    <xf numFmtId="2" fontId="3" fillId="3" borderId="12" xfId="0" applyNumberFormat="1" applyFont="1" applyFill="1" applyBorder="1" applyAlignment="1">
      <alignment horizontal="center"/>
    </xf>
    <xf numFmtId="2" fontId="12" fillId="3" borderId="12" xfId="0" applyNumberFormat="1" applyFont="1" applyFill="1" applyBorder="1" applyAlignment="1">
      <alignment horizontal="center"/>
    </xf>
    <xf numFmtId="0" fontId="2" fillId="10" borderId="0" xfId="0" applyFont="1" applyFill="1"/>
    <xf numFmtId="37" fontId="2" fillId="0" borderId="0" xfId="0" applyNumberFormat="1" applyFont="1"/>
    <xf numFmtId="37" fontId="2" fillId="0" borderId="17" xfId="0" applyNumberFormat="1" applyFont="1" applyBorder="1"/>
    <xf numFmtId="167" fontId="2" fillId="0" borderId="0" xfId="1" applyNumberFormat="1" applyFont="1"/>
    <xf numFmtId="167" fontId="2" fillId="2" borderId="0" xfId="0" applyNumberFormat="1" applyFont="1" applyFill="1" applyAlignment="1">
      <alignment horizontal="center"/>
    </xf>
    <xf numFmtId="166" fontId="2" fillId="3" borderId="0" xfId="1" applyNumberFormat="1" applyFont="1" applyFill="1"/>
    <xf numFmtId="0" fontId="2" fillId="0" borderId="1" xfId="0" applyFont="1" applyBorder="1"/>
    <xf numFmtId="0" fontId="2" fillId="0" borderId="2" xfId="0" applyFont="1" applyBorder="1" applyAlignment="1">
      <alignment horizontal="center"/>
    </xf>
    <xf numFmtId="168" fontId="2" fillId="2" borderId="0" xfId="0" applyNumberFormat="1" applyFont="1" applyFill="1" applyAlignment="1">
      <alignment horizontal="center"/>
    </xf>
    <xf numFmtId="166" fontId="2" fillId="0" borderId="3" xfId="1" applyNumberFormat="1" applyFont="1" applyBorder="1"/>
    <xf numFmtId="0" fontId="2" fillId="0" borderId="0" xfId="0" quotePrefix="1" applyFont="1"/>
    <xf numFmtId="10" fontId="2" fillId="2" borderId="0" xfId="1" applyNumberFormat="1" applyFont="1" applyFill="1"/>
    <xf numFmtId="167" fontId="2" fillId="3" borderId="0" xfId="1" applyNumberFormat="1" applyFont="1" applyFill="1"/>
    <xf numFmtId="3" fontId="2" fillId="2" borderId="0" xfId="0" applyNumberFormat="1" applyFont="1" applyFill="1" applyAlignment="1">
      <alignment horizontal="center"/>
    </xf>
    <xf numFmtId="3" fontId="2" fillId="2" borderId="12" xfId="0" applyNumberFormat="1" applyFont="1" applyFill="1" applyBorder="1" applyAlignment="1">
      <alignment horizontal="center"/>
    </xf>
    <xf numFmtId="3" fontId="3" fillId="0" borderId="0" xfId="0" applyNumberFormat="1" applyFont="1"/>
    <xf numFmtId="0" fontId="21" fillId="0" borderId="13" xfId="0" applyFont="1" applyBorder="1" applyAlignment="1">
      <alignment horizontal="center"/>
    </xf>
    <xf numFmtId="3" fontId="2" fillId="0" borderId="18" xfId="0" applyNumberFormat="1" applyFont="1" applyBorder="1" applyAlignment="1">
      <alignment horizontal="center"/>
    </xf>
    <xf numFmtId="0" fontId="2" fillId="6" borderId="0" xfId="0" applyFont="1" applyFill="1"/>
    <xf numFmtId="3" fontId="2" fillId="6" borderId="0" xfId="0" applyNumberFormat="1" applyFont="1" applyFill="1"/>
    <xf numFmtId="0" fontId="21" fillId="0" borderId="0" xfId="0" applyFont="1" applyAlignment="1">
      <alignment horizontal="center"/>
    </xf>
    <xf numFmtId="0" fontId="21" fillId="0" borderId="0" xfId="0" applyFont="1" applyAlignment="1">
      <alignment horizontal="right"/>
    </xf>
    <xf numFmtId="169" fontId="2" fillId="0" borderId="0" xfId="0" applyNumberFormat="1" applyFont="1" applyAlignment="1">
      <alignment horizontal="center"/>
    </xf>
    <xf numFmtId="170" fontId="2" fillId="0" borderId="0" xfId="0" applyNumberFormat="1" applyFont="1" applyAlignment="1">
      <alignment horizontal="center"/>
    </xf>
    <xf numFmtId="1" fontId="2" fillId="0" borderId="0" xfId="0" applyNumberFormat="1" applyFont="1" applyAlignment="1">
      <alignment horizontal="center"/>
    </xf>
    <xf numFmtId="164" fontId="2" fillId="0" borderId="0" xfId="0" applyNumberFormat="1" applyFont="1"/>
    <xf numFmtId="3" fontId="2" fillId="0" borderId="17" xfId="0" applyNumberFormat="1" applyFont="1" applyBorder="1"/>
    <xf numFmtId="0" fontId="3" fillId="0" borderId="6" xfId="0" applyFont="1" applyBorder="1"/>
    <xf numFmtId="0" fontId="3" fillId="0" borderId="7" xfId="0" applyFont="1" applyBorder="1"/>
    <xf numFmtId="0" fontId="3" fillId="0" borderId="8" xfId="0" applyFont="1" applyBorder="1"/>
    <xf numFmtId="0" fontId="3" fillId="0" borderId="9" xfId="0" applyFont="1" applyBorder="1"/>
    <xf numFmtId="0" fontId="3" fillId="0" borderId="11" xfId="0" applyFont="1" applyBorder="1"/>
    <xf numFmtId="0" fontId="19" fillId="0" borderId="0" xfId="0" applyFont="1"/>
    <xf numFmtId="0" fontId="19" fillId="0" borderId="13" xfId="0" applyFont="1" applyBorder="1" applyAlignment="1">
      <alignment horizontal="center"/>
    </xf>
    <xf numFmtId="169" fontId="2" fillId="15" borderId="0" xfId="0" applyNumberFormat="1" applyFont="1" applyFill="1" applyAlignment="1">
      <alignment horizontal="center"/>
    </xf>
    <xf numFmtId="10" fontId="2" fillId="2" borderId="12" xfId="1" applyNumberFormat="1" applyFont="1" applyFill="1" applyBorder="1" applyAlignment="1">
      <alignment horizontal="center"/>
    </xf>
    <xf numFmtId="0" fontId="10" fillId="15" borderId="0" xfId="0" applyFont="1" applyFill="1"/>
    <xf numFmtId="0" fontId="3" fillId="18" borderId="0" xfId="0" applyFont="1" applyFill="1"/>
    <xf numFmtId="2" fontId="2" fillId="0" borderId="0" xfId="0" applyNumberFormat="1" applyFont="1"/>
    <xf numFmtId="0" fontId="2" fillId="19" borderId="0" xfId="0" applyFont="1" applyFill="1"/>
    <xf numFmtId="0" fontId="0" fillId="0" borderId="0" xfId="0" applyAlignment="1">
      <alignment horizontal="center"/>
    </xf>
    <xf numFmtId="2" fontId="0" fillId="2" borderId="0" xfId="0" applyNumberFormat="1" applyFill="1" applyAlignment="1">
      <alignment horizontal="center"/>
    </xf>
    <xf numFmtId="2" fontId="0" fillId="16" borderId="0" xfId="0" applyNumberFormat="1" applyFill="1" applyAlignment="1">
      <alignment horizontal="center"/>
    </xf>
    <xf numFmtId="14" fontId="2" fillId="2" borderId="0" xfId="0" applyNumberFormat="1" applyFont="1" applyFill="1"/>
    <xf numFmtId="10" fontId="2" fillId="0" borderId="0" xfId="1" applyNumberFormat="1" applyFont="1"/>
    <xf numFmtId="166" fontId="2" fillId="0" borderId="0" xfId="1" applyNumberFormat="1" applyFont="1"/>
    <xf numFmtId="167" fontId="2" fillId="2" borderId="0" xfId="1" applyNumberFormat="1" applyFont="1" applyFill="1"/>
    <xf numFmtId="0" fontId="2" fillId="0" borderId="10" xfId="0" applyFont="1" applyBorder="1" applyAlignment="1">
      <alignment horizontal="center"/>
    </xf>
    <xf numFmtId="2" fontId="2" fillId="2" borderId="0" xfId="0" applyNumberFormat="1" applyFont="1" applyFill="1"/>
    <xf numFmtId="0" fontId="2" fillId="0" borderId="19" xfId="0" applyFont="1" applyBorder="1"/>
    <xf numFmtId="0" fontId="2" fillId="6" borderId="19" xfId="0" applyFont="1" applyFill="1" applyBorder="1"/>
    <xf numFmtId="3" fontId="2" fillId="0" borderId="19" xfId="0" applyNumberFormat="1" applyFont="1" applyBorder="1"/>
    <xf numFmtId="0" fontId="2" fillId="20" borderId="0" xfId="0" applyFont="1" applyFill="1"/>
    <xf numFmtId="2" fontId="2" fillId="2" borderId="12" xfId="0" applyNumberFormat="1" applyFont="1" applyFill="1" applyBorder="1" applyAlignment="1">
      <alignment horizontal="center"/>
    </xf>
    <xf numFmtId="0" fontId="2" fillId="4" borderId="13" xfId="0" applyFont="1" applyFill="1" applyBorder="1" applyAlignment="1">
      <alignment horizontal="center"/>
    </xf>
    <xf numFmtId="165" fontId="6" fillId="0" borderId="0" xfId="0" applyNumberFormat="1" applyFont="1" applyAlignment="1">
      <alignment horizontal="center"/>
    </xf>
    <xf numFmtId="9" fontId="2" fillId="0" borderId="0" xfId="0" applyNumberFormat="1" applyFont="1"/>
    <xf numFmtId="0" fontId="2" fillId="21" borderId="0" xfId="0" applyFont="1" applyFill="1"/>
    <xf numFmtId="0" fontId="2" fillId="21" borderId="0" xfId="0" applyFont="1" applyFill="1" applyAlignment="1">
      <alignment horizontal="center"/>
    </xf>
    <xf numFmtId="0" fontId="2" fillId="2" borderId="14" xfId="0" applyFont="1" applyFill="1" applyBorder="1" applyAlignment="1">
      <alignment horizontal="center"/>
    </xf>
    <xf numFmtId="0" fontId="24" fillId="0" borderId="0" xfId="0" applyFont="1"/>
    <xf numFmtId="0" fontId="2" fillId="0" borderId="20" xfId="0" applyFont="1" applyBorder="1" applyAlignment="1">
      <alignment horizontal="center"/>
    </xf>
    <xf numFmtId="0" fontId="25" fillId="0" borderId="0" xfId="0" applyFont="1"/>
    <xf numFmtId="164" fontId="2" fillId="2" borderId="0" xfId="0" applyNumberFormat="1" applyFont="1" applyFill="1" applyAlignment="1">
      <alignment horizontal="center"/>
    </xf>
    <xf numFmtId="0" fontId="3" fillId="0" borderId="13" xfId="0" applyFont="1" applyBorder="1"/>
    <xf numFmtId="0" fontId="3" fillId="0" borderId="13" xfId="0" applyFont="1" applyBorder="1" applyAlignment="1">
      <alignment horizontal="center"/>
    </xf>
    <xf numFmtId="0" fontId="2" fillId="15" borderId="0" xfId="0" applyFont="1" applyFill="1"/>
    <xf numFmtId="16" fontId="2" fillId="15" borderId="0" xfId="0" applyNumberFormat="1" applyFont="1" applyFill="1" applyAlignment="1">
      <alignment horizontal="center"/>
    </xf>
    <xf numFmtId="0" fontId="2" fillId="15" borderId="0" xfId="0" applyFont="1" applyFill="1" applyAlignment="1">
      <alignment horizontal="center"/>
    </xf>
    <xf numFmtId="0" fontId="2" fillId="22" borderId="0" xfId="0" applyFont="1" applyFill="1"/>
    <xf numFmtId="16" fontId="2" fillId="22" borderId="0" xfId="0" applyNumberFormat="1" applyFont="1" applyFill="1" applyAlignment="1">
      <alignment horizontal="center"/>
    </xf>
    <xf numFmtId="0" fontId="2" fillId="22" borderId="0" xfId="0" applyFont="1" applyFill="1" applyAlignment="1">
      <alignment horizontal="center"/>
    </xf>
    <xf numFmtId="0" fontId="2" fillId="23" borderId="0" xfId="0" applyFont="1" applyFill="1"/>
    <xf numFmtId="0" fontId="2" fillId="23" borderId="0" xfId="0" applyFont="1" applyFill="1" applyAlignment="1">
      <alignment horizontal="center"/>
    </xf>
    <xf numFmtId="0" fontId="2" fillId="24" borderId="0" xfId="0" applyFont="1" applyFill="1"/>
    <xf numFmtId="0" fontId="2" fillId="24" borderId="0" xfId="0" applyFont="1" applyFill="1" applyAlignment="1">
      <alignment horizontal="center"/>
    </xf>
    <xf numFmtId="0" fontId="2" fillId="25" borderId="0" xfId="0" applyFont="1" applyFill="1"/>
    <xf numFmtId="0" fontId="2" fillId="25" borderId="0" xfId="0" applyFont="1" applyFill="1" applyAlignment="1">
      <alignment horizontal="center"/>
    </xf>
    <xf numFmtId="0" fontId="2" fillId="26" borderId="0" xfId="0" applyFont="1" applyFill="1"/>
    <xf numFmtId="0" fontId="2" fillId="26" borderId="0" xfId="0" applyFont="1" applyFill="1" applyAlignment="1">
      <alignment horizontal="center"/>
    </xf>
    <xf numFmtId="0" fontId="2" fillId="27" borderId="0" xfId="0" applyFont="1" applyFill="1"/>
    <xf numFmtId="0" fontId="2" fillId="27" borderId="0" xfId="0" applyFont="1" applyFill="1" applyAlignment="1">
      <alignment horizontal="center"/>
    </xf>
    <xf numFmtId="0" fontId="3" fillId="15" borderId="0" xfId="0" applyFont="1" applyFill="1"/>
    <xf numFmtId="171" fontId="2" fillId="0" borderId="0" xfId="0" applyNumberFormat="1" applyFont="1" applyAlignment="1">
      <alignment horizontal="center"/>
    </xf>
    <xf numFmtId="2" fontId="2" fillId="10" borderId="0" xfId="0" applyNumberFormat="1" applyFont="1" applyFill="1" applyAlignment="1">
      <alignment horizontal="center"/>
    </xf>
    <xf numFmtId="2" fontId="2" fillId="18" borderId="0" xfId="0" applyNumberFormat="1" applyFont="1" applyFill="1" applyAlignment="1">
      <alignment horizontal="center"/>
    </xf>
    <xf numFmtId="0" fontId="27" fillId="0" borderId="0" xfId="0" applyFont="1"/>
    <xf numFmtId="0" fontId="27" fillId="0" borderId="0" xfId="0" applyFont="1" applyAlignment="1">
      <alignment horizontal="center"/>
    </xf>
    <xf numFmtId="0" fontId="27" fillId="0" borderId="13" xfId="0" applyFont="1" applyBorder="1" applyAlignment="1">
      <alignment horizontal="center"/>
    </xf>
    <xf numFmtId="0" fontId="27" fillId="0" borderId="13" xfId="0" applyFont="1" applyBorder="1"/>
    <xf numFmtId="0" fontId="26" fillId="23" borderId="0" xfId="0" applyFont="1" applyFill="1"/>
    <xf numFmtId="0" fontId="20" fillId="23" borderId="0" xfId="0" applyFont="1" applyFill="1"/>
    <xf numFmtId="171" fontId="2" fillId="24" borderId="0" xfId="0" applyNumberFormat="1" applyFont="1" applyFill="1"/>
    <xf numFmtId="167" fontId="3" fillId="0" borderId="0" xfId="1" applyNumberFormat="1" applyFont="1"/>
    <xf numFmtId="166" fontId="2" fillId="0" borderId="0" xfId="0" applyNumberFormat="1" applyFont="1"/>
    <xf numFmtId="0" fontId="2" fillId="0" borderId="16" xfId="0" applyFont="1" applyBorder="1" applyAlignment="1">
      <alignment horizontal="center"/>
    </xf>
    <xf numFmtId="0" fontId="6" fillId="0" borderId="0" xfId="0" applyFont="1"/>
    <xf numFmtId="0" fontId="20" fillId="0" borderId="0" xfId="0" applyFont="1"/>
    <xf numFmtId="1" fontId="6" fillId="4" borderId="0" xfId="0" applyNumberFormat="1" applyFont="1" applyFill="1" applyAlignment="1">
      <alignment horizontal="center"/>
    </xf>
    <xf numFmtId="164" fontId="6" fillId="4" borderId="0" xfId="0" applyNumberFormat="1" applyFont="1" applyFill="1" applyAlignment="1">
      <alignment horizontal="center"/>
    </xf>
    <xf numFmtId="0" fontId="15" fillId="0" borderId="0" xfId="0" applyFont="1"/>
    <xf numFmtId="0" fontId="28" fillId="0" borderId="0" xfId="0" applyFont="1"/>
    <xf numFmtId="0" fontId="2" fillId="3" borderId="0" xfId="0" applyFont="1" applyFill="1"/>
    <xf numFmtId="172" fontId="2" fillId="0" borderId="0" xfId="1" applyNumberFormat="1" applyFont="1"/>
    <xf numFmtId="173" fontId="2" fillId="0" borderId="0" xfId="2" applyNumberFormat="1" applyFont="1"/>
    <xf numFmtId="174" fontId="2" fillId="0" borderId="0" xfId="2" applyNumberFormat="1" applyFont="1"/>
    <xf numFmtId="2" fontId="2" fillId="28" borderId="0" xfId="0" applyNumberFormat="1" applyFont="1" applyFill="1"/>
    <xf numFmtId="2" fontId="20" fillId="9" borderId="0" xfId="0" applyNumberFormat="1" applyFont="1" applyFill="1" applyAlignment="1">
      <alignment horizontal="center"/>
    </xf>
    <xf numFmtId="0" fontId="6" fillId="7" borderId="0" xfId="0" applyFont="1" applyFill="1" applyAlignment="1">
      <alignment horizontal="center"/>
    </xf>
    <xf numFmtId="0" fontId="5" fillId="8" borderId="0" xfId="0" applyFont="1" applyFill="1"/>
    <xf numFmtId="2" fontId="20" fillId="2" borderId="0" xfId="0" applyNumberFormat="1" applyFont="1" applyFill="1" applyAlignment="1">
      <alignment horizontal="center"/>
    </xf>
    <xf numFmtId="2" fontId="29" fillId="29" borderId="12" xfId="0" applyNumberFormat="1" applyFont="1" applyFill="1" applyBorder="1" applyAlignment="1">
      <alignment horizontal="center"/>
    </xf>
    <xf numFmtId="0" fontId="2" fillId="30" borderId="0" xfId="0" applyFont="1" applyFill="1"/>
    <xf numFmtId="0" fontId="3" fillId="30" borderId="0" xfId="0" applyFont="1" applyFill="1"/>
    <xf numFmtId="4" fontId="2" fillId="3" borderId="0" xfId="0" applyNumberFormat="1" applyFont="1" applyFill="1" applyAlignment="1">
      <alignment horizontal="center"/>
    </xf>
    <xf numFmtId="2" fontId="20" fillId="4" borderId="0" xfId="0" applyNumberFormat="1" applyFont="1" applyFill="1" applyAlignment="1">
      <alignment horizontal="center"/>
    </xf>
    <xf numFmtId="2" fontId="30" fillId="12" borderId="14" xfId="0" applyNumberFormat="1" applyFont="1" applyFill="1" applyBorder="1" applyAlignment="1">
      <alignment horizontal="center"/>
    </xf>
    <xf numFmtId="0" fontId="2" fillId="13" borderId="0" xfId="0" applyFont="1" applyFill="1"/>
    <xf numFmtId="4" fontId="2" fillId="13" borderId="0" xfId="0" applyNumberFormat="1" applyFont="1" applyFill="1" applyAlignment="1">
      <alignment horizontal="center"/>
    </xf>
    <xf numFmtId="38" fontId="6" fillId="10" borderId="0" xfId="0" applyNumberFormat="1" applyFont="1" applyFill="1" applyAlignment="1">
      <alignment horizontal="center"/>
    </xf>
    <xf numFmtId="3" fontId="6" fillId="10" borderId="0" xfId="0" applyNumberFormat="1" applyFont="1" applyFill="1" applyAlignment="1">
      <alignment horizontal="center"/>
    </xf>
    <xf numFmtId="0" fontId="6" fillId="0" borderId="13" xfId="0" applyFont="1" applyBorder="1" applyAlignment="1">
      <alignment horizontal="center"/>
    </xf>
    <xf numFmtId="38" fontId="30" fillId="12" borderId="0" xfId="0" applyNumberFormat="1" applyFont="1" applyFill="1" applyAlignment="1">
      <alignment horizontal="center"/>
    </xf>
    <xf numFmtId="0" fontId="6" fillId="0" borderId="13" xfId="0" applyFont="1" applyBorder="1" applyAlignment="1">
      <alignment horizontal="center" wrapText="1"/>
    </xf>
    <xf numFmtId="4" fontId="6" fillId="10" borderId="0" xfId="0" applyNumberFormat="1" applyFont="1" applyFill="1" applyAlignment="1">
      <alignment horizontal="center"/>
    </xf>
    <xf numFmtId="40" fontId="6" fillId="2" borderId="0" xfId="0" applyNumberFormat="1" applyFont="1" applyFill="1" applyAlignment="1">
      <alignment horizontal="center"/>
    </xf>
    <xf numFmtId="4" fontId="6" fillId="2" borderId="0" xfId="0" applyNumberFormat="1" applyFont="1" applyFill="1" applyAlignment="1">
      <alignment horizontal="center"/>
    </xf>
    <xf numFmtId="40" fontId="6" fillId="15" borderId="0" xfId="0" applyNumberFormat="1" applyFont="1" applyFill="1" applyAlignment="1">
      <alignment horizontal="center"/>
    </xf>
    <xf numFmtId="4" fontId="6" fillId="15" borderId="0" xfId="0" applyNumberFormat="1" applyFont="1" applyFill="1" applyAlignment="1">
      <alignment horizontal="center"/>
    </xf>
    <xf numFmtId="40" fontId="31" fillId="9" borderId="0" xfId="0" applyNumberFormat="1" applyFont="1" applyFill="1" applyAlignment="1">
      <alignment horizontal="center"/>
    </xf>
    <xf numFmtId="2" fontId="6" fillId="0" borderId="0" xfId="0" applyNumberFormat="1" applyFont="1" applyAlignment="1">
      <alignment horizontal="center"/>
    </xf>
    <xf numFmtId="0" fontId="2" fillId="18" borderId="0" xfId="0" applyFont="1" applyFill="1"/>
    <xf numFmtId="0" fontId="3" fillId="2" borderId="0" xfId="0" applyFont="1" applyFill="1" applyAlignment="1">
      <alignment horizontal="center"/>
    </xf>
    <xf numFmtId="0" fontId="2" fillId="0" borderId="0" xfId="0" applyFont="1" applyAlignment="1">
      <alignment horizontal="center" vertical="center"/>
    </xf>
    <xf numFmtId="10" fontId="2" fillId="0" borderId="0" xfId="1" applyNumberFormat="1" applyFont="1" applyAlignment="1">
      <alignment horizontal="center" vertical="center"/>
    </xf>
    <xf numFmtId="0" fontId="5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9" fillId="0" borderId="14" xfId="0" applyFont="1" applyBorder="1" applyAlignment="1">
      <alignment horizontal="center" wrapText="1"/>
    </xf>
    <xf numFmtId="0" fontId="19" fillId="0" borderId="16" xfId="0" applyFont="1" applyBorder="1" applyAlignment="1">
      <alignment horizontal="center"/>
    </xf>
    <xf numFmtId="0" fontId="19" fillId="0" borderId="15" xfId="0" applyFont="1" applyBorder="1" applyAlignment="1">
      <alignment horizontal="center"/>
    </xf>
    <xf numFmtId="0" fontId="2" fillId="0" borderId="4" xfId="0" applyFont="1" applyBorder="1" applyAlignment="1">
      <alignment horizontal="center" wrapText="1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11" xfId="0" applyFont="1" applyBorder="1" applyAlignment="1">
      <alignment horizontal="center"/>
    </xf>
    <xf numFmtId="0" fontId="2" fillId="9" borderId="19" xfId="0" applyFont="1" applyFill="1" applyBorder="1" applyAlignment="1">
      <alignment horizontal="center"/>
    </xf>
    <xf numFmtId="0" fontId="2" fillId="4" borderId="19" xfId="0" applyFont="1" applyFill="1" applyBorder="1" applyAlignment="1">
      <alignment horizontal="center"/>
    </xf>
    <xf numFmtId="3" fontId="2" fillId="2" borderId="0" xfId="0" applyNumberFormat="1" applyFont="1" applyFill="1" applyAlignment="1">
      <alignment horizontal="center" vertical="center"/>
    </xf>
    <xf numFmtId="0" fontId="2" fillId="26" borderId="4" xfId="0" applyFont="1" applyFill="1" applyBorder="1" applyAlignment="1">
      <alignment horizontal="center" vertical="center"/>
    </xf>
    <xf numFmtId="0" fontId="2" fillId="26" borderId="6" xfId="0" applyFont="1" applyFill="1" applyBorder="1" applyAlignment="1">
      <alignment horizontal="center" vertical="center"/>
    </xf>
    <xf numFmtId="0" fontId="2" fillId="26" borderId="9" xfId="0" applyFont="1" applyFill="1" applyBorder="1" applyAlignment="1">
      <alignment horizontal="center" vertical="center"/>
    </xf>
    <xf numFmtId="0" fontId="2" fillId="26" borderId="11" xfId="0" applyFont="1" applyFill="1" applyBorder="1" applyAlignment="1">
      <alignment horizontal="center" vertical="center"/>
    </xf>
    <xf numFmtId="0" fontId="2" fillId="27" borderId="4" xfId="0" applyFont="1" applyFill="1" applyBorder="1" applyAlignment="1">
      <alignment horizontal="center" vertical="center"/>
    </xf>
    <xf numFmtId="0" fontId="2" fillId="27" borderId="6" xfId="0" applyFont="1" applyFill="1" applyBorder="1" applyAlignment="1">
      <alignment horizontal="center" vertical="center"/>
    </xf>
    <xf numFmtId="0" fontId="2" fillId="27" borderId="9" xfId="0" applyFont="1" applyFill="1" applyBorder="1" applyAlignment="1">
      <alignment horizontal="center" vertical="center"/>
    </xf>
    <xf numFmtId="0" fontId="2" fillId="27" borderId="11" xfId="0" applyFont="1" applyFill="1" applyBorder="1" applyAlignment="1">
      <alignment horizontal="center" vertical="center"/>
    </xf>
    <xf numFmtId="0" fontId="2" fillId="0" borderId="14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2" fontId="2" fillId="25" borderId="0" xfId="0" applyNumberFormat="1" applyFont="1" applyFill="1" applyAlignment="1">
      <alignment horizontal="center" vertical="center"/>
    </xf>
    <xf numFmtId="0" fontId="2" fillId="15" borderId="4" xfId="0" applyFont="1" applyFill="1" applyBorder="1" applyAlignment="1">
      <alignment horizontal="center" vertical="center" wrapText="1"/>
    </xf>
    <xf numFmtId="0" fontId="2" fillId="15" borderId="6" xfId="0" applyFont="1" applyFill="1" applyBorder="1" applyAlignment="1">
      <alignment horizontal="center" vertical="center"/>
    </xf>
    <xf numFmtId="0" fontId="2" fillId="15" borderId="7" xfId="0" applyFont="1" applyFill="1" applyBorder="1" applyAlignment="1">
      <alignment horizontal="center" vertical="center"/>
    </xf>
    <xf numFmtId="0" fontId="2" fillId="15" borderId="8" xfId="0" applyFont="1" applyFill="1" applyBorder="1" applyAlignment="1">
      <alignment horizontal="center" vertical="center"/>
    </xf>
    <xf numFmtId="0" fontId="2" fillId="15" borderId="9" xfId="0" applyFont="1" applyFill="1" applyBorder="1" applyAlignment="1">
      <alignment horizontal="center" vertical="center"/>
    </xf>
    <xf numFmtId="0" fontId="2" fillId="15" borderId="11" xfId="0" applyFont="1" applyFill="1" applyBorder="1" applyAlignment="1">
      <alignment horizontal="center" vertical="center"/>
    </xf>
    <xf numFmtId="0" fontId="2" fillId="22" borderId="4" xfId="0" applyFont="1" applyFill="1" applyBorder="1" applyAlignment="1">
      <alignment horizontal="center" vertical="center" wrapText="1"/>
    </xf>
    <xf numFmtId="0" fontId="2" fillId="22" borderId="6" xfId="0" applyFont="1" applyFill="1" applyBorder="1" applyAlignment="1">
      <alignment horizontal="center" vertical="center"/>
    </xf>
    <xf numFmtId="0" fontId="2" fillId="22" borderId="7" xfId="0" applyFont="1" applyFill="1" applyBorder="1" applyAlignment="1">
      <alignment horizontal="center" vertical="center"/>
    </xf>
    <xf numFmtId="0" fontId="2" fillId="22" borderId="8" xfId="0" applyFont="1" applyFill="1" applyBorder="1" applyAlignment="1">
      <alignment horizontal="center" vertical="center"/>
    </xf>
    <xf numFmtId="0" fontId="2" fillId="22" borderId="9" xfId="0" applyFont="1" applyFill="1" applyBorder="1" applyAlignment="1">
      <alignment horizontal="center" vertical="center"/>
    </xf>
    <xf numFmtId="0" fontId="2" fillId="22" borderId="11" xfId="0" applyFont="1" applyFill="1" applyBorder="1" applyAlignment="1">
      <alignment horizontal="center" vertical="center"/>
    </xf>
    <xf numFmtId="0" fontId="2" fillId="23" borderId="4" xfId="0" applyFont="1" applyFill="1" applyBorder="1" applyAlignment="1">
      <alignment horizontal="center" vertical="center" wrapText="1"/>
    </xf>
    <xf numFmtId="0" fontId="2" fillId="23" borderId="6" xfId="0" applyFont="1" applyFill="1" applyBorder="1" applyAlignment="1">
      <alignment horizontal="center" vertical="center" wrapText="1"/>
    </xf>
    <xf numFmtId="0" fontId="2" fillId="23" borderId="7" xfId="0" applyFont="1" applyFill="1" applyBorder="1" applyAlignment="1">
      <alignment horizontal="center" vertical="center" wrapText="1"/>
    </xf>
    <xf numFmtId="0" fontId="2" fillId="23" borderId="8" xfId="0" applyFont="1" applyFill="1" applyBorder="1" applyAlignment="1">
      <alignment horizontal="center" vertical="center" wrapText="1"/>
    </xf>
    <xf numFmtId="0" fontId="2" fillId="23" borderId="9" xfId="0" applyFont="1" applyFill="1" applyBorder="1" applyAlignment="1">
      <alignment horizontal="center" vertical="center" wrapText="1"/>
    </xf>
    <xf numFmtId="0" fontId="2" fillId="23" borderId="11" xfId="0" applyFont="1" applyFill="1" applyBorder="1" applyAlignment="1">
      <alignment horizontal="center" vertical="center" wrapText="1"/>
    </xf>
    <xf numFmtId="0" fontId="2" fillId="24" borderId="1" xfId="0" applyFont="1" applyFill="1" applyBorder="1" applyAlignment="1">
      <alignment horizontal="center"/>
    </xf>
    <xf numFmtId="0" fontId="2" fillId="24" borderId="3" xfId="0" applyFont="1" applyFill="1" applyBorder="1" applyAlignment="1">
      <alignment horizontal="center"/>
    </xf>
    <xf numFmtId="0" fontId="2" fillId="25" borderId="4" xfId="0" applyFont="1" applyFill="1" applyBorder="1" applyAlignment="1">
      <alignment horizontal="center" vertical="center" wrapText="1"/>
    </xf>
    <xf numFmtId="0" fontId="2" fillId="25" borderId="6" xfId="0" applyFont="1" applyFill="1" applyBorder="1" applyAlignment="1">
      <alignment horizontal="center" vertical="center"/>
    </xf>
    <xf numFmtId="0" fontId="2" fillId="25" borderId="7" xfId="0" applyFont="1" applyFill="1" applyBorder="1" applyAlignment="1">
      <alignment horizontal="center" vertical="center"/>
    </xf>
    <xf numFmtId="0" fontId="2" fillId="25" borderId="8" xfId="0" applyFont="1" applyFill="1" applyBorder="1" applyAlignment="1">
      <alignment horizontal="center" vertical="center"/>
    </xf>
    <xf numFmtId="0" fontId="2" fillId="25" borderId="9" xfId="0" applyFont="1" applyFill="1" applyBorder="1" applyAlignment="1">
      <alignment horizontal="center" vertical="center"/>
    </xf>
    <xf numFmtId="0" fontId="2" fillId="25" borderId="11" xfId="0" applyFont="1" applyFill="1" applyBorder="1" applyAlignment="1">
      <alignment horizontal="center" vertical="center"/>
    </xf>
    <xf numFmtId="0" fontId="5" fillId="9" borderId="0" xfId="0" applyFont="1" applyFill="1"/>
    <xf numFmtId="0" fontId="2" fillId="0" borderId="21" xfId="0" applyFont="1" applyBorder="1" applyAlignment="1">
      <alignment horizontal="center"/>
    </xf>
    <xf numFmtId="2" fontId="2" fillId="2" borderId="16" xfId="0" applyNumberFormat="1" applyFont="1" applyFill="1" applyBorder="1" applyAlignment="1">
      <alignment horizontal="center"/>
    </xf>
    <xf numFmtId="2" fontId="3" fillId="0" borderId="0" xfId="0" applyNumberFormat="1" applyFont="1"/>
    <xf numFmtId="0" fontId="4" fillId="11" borderId="0" xfId="0" applyFont="1" applyFill="1"/>
    <xf numFmtId="0" fontId="21" fillId="0" borderId="0" xfId="0" applyFont="1"/>
    <xf numFmtId="0" fontId="4" fillId="31" borderId="0" xfId="0" applyFont="1" applyFill="1"/>
    <xf numFmtId="0" fontId="4" fillId="31" borderId="0" xfId="0" applyFont="1" applyFill="1" applyAlignment="1">
      <alignment horizontal="center"/>
    </xf>
    <xf numFmtId="0" fontId="2" fillId="0" borderId="0" xfId="0" applyFont="1" applyBorder="1"/>
    <xf numFmtId="0" fontId="2" fillId="29" borderId="0" xfId="0" applyFont="1" applyFill="1" applyAlignment="1">
      <alignment horizontal="center"/>
    </xf>
    <xf numFmtId="0" fontId="19" fillId="0" borderId="0" xfId="0" applyFont="1" applyAlignment="1">
      <alignment horizontal="center"/>
    </xf>
    <xf numFmtId="0" fontId="19" fillId="0" borderId="0" xfId="0" applyFont="1" applyAlignment="1">
      <alignment horizontal="center" wrapText="1"/>
    </xf>
    <xf numFmtId="0" fontId="19" fillId="29" borderId="0" xfId="0" applyFont="1" applyFill="1" applyAlignment="1">
      <alignment horizontal="center"/>
    </xf>
    <xf numFmtId="0" fontId="21" fillId="29" borderId="0" xfId="0" applyFont="1" applyFill="1" applyAlignment="1">
      <alignment horizontal="center"/>
    </xf>
    <xf numFmtId="0" fontId="27" fillId="0" borderId="0" xfId="0" applyFont="1" applyAlignment="1">
      <alignment horizontal="center" wrapText="1"/>
    </xf>
    <xf numFmtId="0" fontId="32" fillId="29" borderId="0" xfId="0" applyFont="1" applyFill="1" applyAlignment="1">
      <alignment horizontal="center"/>
    </xf>
    <xf numFmtId="0" fontId="3" fillId="9" borderId="0" xfId="0" applyFont="1" applyFill="1" applyAlignment="1">
      <alignment horizontal="center"/>
    </xf>
  </cellXfs>
  <cellStyles count="3">
    <cellStyle name="Comma" xfId="2" builtinId="3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73FDD6"/>
      <color rgb="FFD883FF"/>
      <color rgb="FFD5FC79"/>
      <color rgb="FFFFD579"/>
      <color rgb="FFE8FFC5"/>
      <color rgb="FF929000"/>
      <color rgb="FF8EFA00"/>
      <color rgb="FFFF8AD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17/10/relationships/person" Target="persons/perso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Relationship Id="rId9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jpeg"/><Relationship Id="rId2" Type="http://schemas.openxmlformats.org/officeDocument/2006/relationships/image" Target="../media/image24.jpeg"/><Relationship Id="rId1" Type="http://schemas.openxmlformats.org/officeDocument/2006/relationships/image" Target="../media/image23.jpeg"/><Relationship Id="rId5" Type="http://schemas.openxmlformats.org/officeDocument/2006/relationships/image" Target="../media/image27.jpeg"/><Relationship Id="rId4" Type="http://schemas.openxmlformats.org/officeDocument/2006/relationships/image" Target="../media/image26.jpe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444427</xdr:colOff>
      <xdr:row>17</xdr:row>
      <xdr:rowOff>188275</xdr:rowOff>
    </xdr:from>
    <xdr:to>
      <xdr:col>7</xdr:col>
      <xdr:colOff>754635</xdr:colOff>
      <xdr:row>27</xdr:row>
      <xdr:rowOff>192124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C4ED32-5308-50BF-FBE9-359FC6A31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0049651" y="3703881"/>
          <a:ext cx="1135194" cy="2023526"/>
        </a:xfrm>
        <a:prstGeom prst="rect">
          <a:avLst/>
        </a:prstGeom>
      </xdr:spPr>
    </xdr:pic>
    <xdr:clientData/>
  </xdr:twoCellAnchor>
  <xdr:twoCellAnchor editAs="oneCell">
    <xdr:from>
      <xdr:col>6</xdr:col>
      <xdr:colOff>503195</xdr:colOff>
      <xdr:row>0</xdr:row>
      <xdr:rowOff>61617</xdr:rowOff>
    </xdr:from>
    <xdr:to>
      <xdr:col>7</xdr:col>
      <xdr:colOff>671629</xdr:colOff>
      <xdr:row>4</xdr:row>
      <xdr:rowOff>172528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459B1B4-0DD6-A026-9CD5-B0BD77063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8920371" y="61617"/>
          <a:ext cx="992735" cy="916043"/>
        </a:xfrm>
        <a:prstGeom prst="rect">
          <a:avLst/>
        </a:prstGeom>
      </xdr:spPr>
    </xdr:pic>
    <xdr:clientData/>
  </xdr:twoCellAnchor>
  <xdr:twoCellAnchor>
    <xdr:from>
      <xdr:col>1</xdr:col>
      <xdr:colOff>359434</xdr:colOff>
      <xdr:row>43</xdr:row>
      <xdr:rowOff>30809</xdr:rowOff>
    </xdr:from>
    <xdr:to>
      <xdr:col>1</xdr:col>
      <xdr:colOff>405153</xdr:colOff>
      <xdr:row>44</xdr:row>
      <xdr:rowOff>184852</xdr:rowOff>
    </xdr:to>
    <xdr:sp macro="" textlink="">
      <xdr:nvSpPr>
        <xdr:cNvPr id="6" name="Down Arrow 5">
          <a:extLst>
            <a:ext uri="{FF2B5EF4-FFF2-40B4-BE49-F238E27FC236}">
              <a16:creationId xmlns:a16="http://schemas.microsoft.com/office/drawing/2014/main" id="{78BB7689-64E5-2B72-EFF7-C4F4D86A42F6}"/>
            </a:ext>
          </a:extLst>
        </xdr:cNvPr>
        <xdr:cNvSpPr/>
      </xdr:nvSpPr>
      <xdr:spPr>
        <a:xfrm>
          <a:off x="13515349051" y="8824960"/>
          <a:ext cx="45719" cy="35601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14261</xdr:colOff>
      <xdr:row>43</xdr:row>
      <xdr:rowOff>36652</xdr:rowOff>
    </xdr:from>
    <xdr:to>
      <xdr:col>6</xdr:col>
      <xdr:colOff>59980</xdr:colOff>
      <xdr:row>44</xdr:row>
      <xdr:rowOff>190695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D4CC5D4C-BB51-48AB-B3CC-39C73C7D7BAC}"/>
            </a:ext>
          </a:extLst>
        </xdr:cNvPr>
        <xdr:cNvSpPr/>
      </xdr:nvSpPr>
      <xdr:spPr>
        <a:xfrm>
          <a:off x="13538440612" y="8851504"/>
          <a:ext cx="45719" cy="35694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325617</xdr:colOff>
      <xdr:row>50</xdr:row>
      <xdr:rowOff>15780</xdr:rowOff>
    </xdr:from>
    <xdr:to>
      <xdr:col>1</xdr:col>
      <xdr:colOff>371336</xdr:colOff>
      <xdr:row>51</xdr:row>
      <xdr:rowOff>169823</xdr:rowOff>
    </xdr:to>
    <xdr:sp macro="" textlink="">
      <xdr:nvSpPr>
        <xdr:cNvPr id="8" name="Down Arrow 7">
          <a:extLst>
            <a:ext uri="{FF2B5EF4-FFF2-40B4-BE49-F238E27FC236}">
              <a16:creationId xmlns:a16="http://schemas.microsoft.com/office/drawing/2014/main" id="{40EEF300-DA30-DDEC-CC38-271229815BE8}"/>
            </a:ext>
          </a:extLst>
        </xdr:cNvPr>
        <xdr:cNvSpPr/>
      </xdr:nvSpPr>
      <xdr:spPr>
        <a:xfrm>
          <a:off x="13542262392" y="10250928"/>
          <a:ext cx="45719" cy="35694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127363</xdr:colOff>
      <xdr:row>78</xdr:row>
      <xdr:rowOff>58223</xdr:rowOff>
    </xdr:from>
    <xdr:to>
      <xdr:col>3</xdr:col>
      <xdr:colOff>214699</xdr:colOff>
      <xdr:row>79</xdr:row>
      <xdr:rowOff>141920</xdr:rowOff>
    </xdr:to>
    <xdr:sp macro="" textlink="">
      <xdr:nvSpPr>
        <xdr:cNvPr id="9" name="Down Arrow 8">
          <a:extLst>
            <a:ext uri="{FF2B5EF4-FFF2-40B4-BE49-F238E27FC236}">
              <a16:creationId xmlns:a16="http://schemas.microsoft.com/office/drawing/2014/main" id="{E33C1D73-1CEE-B622-6F77-14104D50D24B}"/>
            </a:ext>
          </a:extLst>
        </xdr:cNvPr>
        <xdr:cNvSpPr/>
      </xdr:nvSpPr>
      <xdr:spPr>
        <a:xfrm>
          <a:off x="13531242292" y="16040573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189226</xdr:colOff>
      <xdr:row>81</xdr:row>
      <xdr:rowOff>80058</xdr:rowOff>
    </xdr:from>
    <xdr:to>
      <xdr:col>2</xdr:col>
      <xdr:colOff>276562</xdr:colOff>
      <xdr:row>82</xdr:row>
      <xdr:rowOff>163754</xdr:rowOff>
    </xdr:to>
    <xdr:sp macro="" textlink="">
      <xdr:nvSpPr>
        <xdr:cNvPr id="10" name="Down Arrow 9">
          <a:extLst>
            <a:ext uri="{FF2B5EF4-FFF2-40B4-BE49-F238E27FC236}">
              <a16:creationId xmlns:a16="http://schemas.microsoft.com/office/drawing/2014/main" id="{CF1A4E2A-D930-01A3-4002-6394425C68DA}"/>
            </a:ext>
          </a:extLst>
        </xdr:cNvPr>
        <xdr:cNvSpPr/>
      </xdr:nvSpPr>
      <xdr:spPr>
        <a:xfrm>
          <a:off x="13532006475" y="16673754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232894</xdr:colOff>
      <xdr:row>81</xdr:row>
      <xdr:rowOff>47307</xdr:rowOff>
    </xdr:from>
    <xdr:to>
      <xdr:col>5</xdr:col>
      <xdr:colOff>320230</xdr:colOff>
      <xdr:row>82</xdr:row>
      <xdr:rowOff>131003</xdr:rowOff>
    </xdr:to>
    <xdr:sp macro="" textlink="">
      <xdr:nvSpPr>
        <xdr:cNvPr id="11" name="Down Arrow 10">
          <a:extLst>
            <a:ext uri="{FF2B5EF4-FFF2-40B4-BE49-F238E27FC236}">
              <a16:creationId xmlns:a16="http://schemas.microsoft.com/office/drawing/2014/main" id="{A6C82EBA-0F16-93CA-1267-42D0F954FECC}"/>
            </a:ext>
          </a:extLst>
        </xdr:cNvPr>
        <xdr:cNvSpPr/>
      </xdr:nvSpPr>
      <xdr:spPr>
        <a:xfrm>
          <a:off x="13529484670" y="16641003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240172</xdr:colOff>
      <xdr:row>85</xdr:row>
      <xdr:rowOff>21835</xdr:rowOff>
    </xdr:from>
    <xdr:to>
      <xdr:col>5</xdr:col>
      <xdr:colOff>327508</xdr:colOff>
      <xdr:row>86</xdr:row>
      <xdr:rowOff>105532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C8E8306E-A17C-7C23-B65A-B4B3392227E4}"/>
            </a:ext>
          </a:extLst>
        </xdr:cNvPr>
        <xdr:cNvSpPr/>
      </xdr:nvSpPr>
      <xdr:spPr>
        <a:xfrm>
          <a:off x="13529477392" y="17430660"/>
          <a:ext cx="87336" cy="2874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541046</xdr:colOff>
      <xdr:row>187</xdr:row>
      <xdr:rowOff>90325</xdr:rowOff>
    </xdr:from>
    <xdr:ext cx="3418033" cy="1772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15218DB-FA96-AEB3-A2E6-1C661969531F}"/>
                </a:ext>
              </a:extLst>
            </xdr:cNvPr>
            <xdr:cNvSpPr txBox="1"/>
          </xdr:nvSpPr>
          <xdr:spPr>
            <a:xfrm>
              <a:off x="13530071304" y="38362034"/>
              <a:ext cx="3418033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rgbClr val="00B050"/>
                                </a:solidFill>
                                <a:latin typeface="Cambria Math" panose="02040503050406030204" pitchFamily="18" charset="0"/>
                              </a:rPr>
                              <m:t>𝐼</m:t>
                            </m:r>
                            <m:sSub>
                              <m:sSubPr>
                                <m:ctrlP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  <m:t>%</m:t>
                                </m:r>
                              </m:e>
                              <m:sub>
                                <m:r>
                                  <a:rPr lang="en-US" sz="1100" b="0" i="1">
                                    <a:solidFill>
                                      <a:srgbClr val="00B050"/>
                                    </a:solidFill>
                                    <a:latin typeface="Cambria Math" panose="02040503050406030204" pitchFamily="18" charset="0"/>
                                  </a:rPr>
                                  <m:t>𝑀𝑂𝑁𝑇𝐻𝐿𝑌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15218DB-FA96-AEB3-A2E6-1C661969531F}"/>
                </a:ext>
              </a:extLst>
            </xdr:cNvPr>
            <xdr:cNvSpPr txBox="1"/>
          </xdr:nvSpPr>
          <xdr:spPr>
            <a:xfrm>
              <a:off x="13530071304" y="38362034"/>
              <a:ext cx="3418033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𝐼%_𝐴𝑁𝑁𝑈𝐴𝐿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𝐼%_𝑀𝑂𝑁𝑇𝐻𝐿𝑌 )^</a:t>
              </a:r>
              <a:r>
                <a:rPr lang="en-US" sz="1100" b="0" i="0">
                  <a:latin typeface="Cambria Math" panose="02040503050406030204" pitchFamily="18" charset="0"/>
                </a:rPr>
                <a:t>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320739</xdr:colOff>
      <xdr:row>192</xdr:row>
      <xdr:rowOff>116244</xdr:rowOff>
    </xdr:from>
    <xdr:ext cx="3596222" cy="1772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E2117A59-0789-A2A0-4A8D-9E3091733590}"/>
                </a:ext>
              </a:extLst>
            </xdr:cNvPr>
            <xdr:cNvSpPr txBox="1"/>
          </xdr:nvSpPr>
          <xdr:spPr>
            <a:xfrm>
              <a:off x="13530113422" y="39408489"/>
              <a:ext cx="3596222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6.539%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E2117A59-0789-A2A0-4A8D-9E3091733590}"/>
                </a:ext>
              </a:extLst>
            </xdr:cNvPr>
            <xdr:cNvSpPr txBox="1"/>
          </xdr:nvSpPr>
          <xdr:spPr>
            <a:xfrm>
              <a:off x="13530113422" y="39408489"/>
              <a:ext cx="3596222" cy="1772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</a:t>
              </a:r>
              <a:r>
                <a:rPr lang="he-IL" sz="1100" b="0" i="0">
                  <a:latin typeface="Cambria Math" panose="02040503050406030204" pitchFamily="18" charset="0"/>
                </a:rPr>
                <a:t>6.539%</a:t>
              </a:r>
              <a:r>
                <a:rPr lang="en-US" sz="1100" b="0" i="0">
                  <a:latin typeface="Cambria Math" panose="02040503050406030204" pitchFamily="18" charset="0"/>
                </a:rPr>
                <a:t>)^12−1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544286</xdr:colOff>
      <xdr:row>188</xdr:row>
      <xdr:rowOff>113393</xdr:rowOff>
    </xdr:from>
    <xdr:to>
      <xdr:col>5</xdr:col>
      <xdr:colOff>592883</xdr:colOff>
      <xdr:row>189</xdr:row>
      <xdr:rowOff>110154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1E2B7422-4EC9-27DF-B0DA-B7E7CF71CA6A}"/>
            </a:ext>
          </a:extLst>
        </xdr:cNvPr>
        <xdr:cNvSpPr/>
      </xdr:nvSpPr>
      <xdr:spPr>
        <a:xfrm>
          <a:off x="13530959056" y="38589209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576684</xdr:colOff>
      <xdr:row>191</xdr:row>
      <xdr:rowOff>45357</xdr:rowOff>
    </xdr:from>
    <xdr:to>
      <xdr:col>5</xdr:col>
      <xdr:colOff>625281</xdr:colOff>
      <xdr:row>192</xdr:row>
      <xdr:rowOff>42118</xdr:rowOff>
    </xdr:to>
    <xdr:sp macro="" textlink="">
      <xdr:nvSpPr>
        <xdr:cNvPr id="16" name="Down Arrow 15">
          <a:extLst>
            <a:ext uri="{FF2B5EF4-FFF2-40B4-BE49-F238E27FC236}">
              <a16:creationId xmlns:a16="http://schemas.microsoft.com/office/drawing/2014/main" id="{6CE706FA-472C-8451-25E9-1C732A3CC588}"/>
            </a:ext>
          </a:extLst>
        </xdr:cNvPr>
        <xdr:cNvSpPr/>
      </xdr:nvSpPr>
      <xdr:spPr>
        <a:xfrm>
          <a:off x="13530926658" y="39133495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77756</xdr:colOff>
      <xdr:row>188</xdr:row>
      <xdr:rowOff>87474</xdr:rowOff>
    </xdr:from>
    <xdr:to>
      <xdr:col>4</xdr:col>
      <xdr:colOff>126353</xdr:colOff>
      <xdr:row>189</xdr:row>
      <xdr:rowOff>84235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CF4961C2-7AE3-E566-B8E2-464FA09CEFC3}"/>
            </a:ext>
          </a:extLst>
        </xdr:cNvPr>
        <xdr:cNvSpPr/>
      </xdr:nvSpPr>
      <xdr:spPr>
        <a:xfrm>
          <a:off x="13532251734" y="38563290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71276</xdr:colOff>
      <xdr:row>191</xdr:row>
      <xdr:rowOff>32397</xdr:rowOff>
    </xdr:from>
    <xdr:to>
      <xdr:col>4</xdr:col>
      <xdr:colOff>119873</xdr:colOff>
      <xdr:row>192</xdr:row>
      <xdr:rowOff>29158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9E53B41-91F8-6345-A464-F789BF116507}"/>
            </a:ext>
          </a:extLst>
        </xdr:cNvPr>
        <xdr:cNvSpPr/>
      </xdr:nvSpPr>
      <xdr:spPr>
        <a:xfrm>
          <a:off x="13532258214" y="39120535"/>
          <a:ext cx="48597" cy="20086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615561</xdr:colOff>
      <xdr:row>188</xdr:row>
      <xdr:rowOff>45358</xdr:rowOff>
    </xdr:from>
    <xdr:to>
      <xdr:col>3</xdr:col>
      <xdr:colOff>686837</xdr:colOff>
      <xdr:row>192</xdr:row>
      <xdr:rowOff>58317</xdr:rowOff>
    </xdr:to>
    <xdr:sp macro="" textlink="">
      <xdr:nvSpPr>
        <xdr:cNvPr id="19" name="Down Arrow 18">
          <a:extLst>
            <a:ext uri="{FF2B5EF4-FFF2-40B4-BE49-F238E27FC236}">
              <a16:creationId xmlns:a16="http://schemas.microsoft.com/office/drawing/2014/main" id="{C65CA4DF-D10B-2314-D0B4-633BE71952F2}"/>
            </a:ext>
          </a:extLst>
        </xdr:cNvPr>
        <xdr:cNvSpPr/>
      </xdr:nvSpPr>
      <xdr:spPr>
        <a:xfrm>
          <a:off x="13532517398" y="38521174"/>
          <a:ext cx="71276" cy="82938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7</xdr:col>
      <xdr:colOff>622300</xdr:colOff>
      <xdr:row>197</xdr:row>
      <xdr:rowOff>38100</xdr:rowOff>
    </xdr:from>
    <xdr:to>
      <xdr:col>9</xdr:col>
      <xdr:colOff>368300</xdr:colOff>
      <xdr:row>205</xdr:row>
      <xdr:rowOff>76201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03D5F98-177D-EB61-6277-CECA99B85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7194200" y="40170100"/>
          <a:ext cx="1397000" cy="1663700"/>
        </a:xfrm>
        <a:prstGeom prst="rect">
          <a:avLst/>
        </a:prstGeom>
      </xdr:spPr>
    </xdr:pic>
    <xdr:clientData/>
  </xdr:twoCellAnchor>
  <xdr:twoCellAnchor editAs="oneCell">
    <xdr:from>
      <xdr:col>9</xdr:col>
      <xdr:colOff>402167</xdr:colOff>
      <xdr:row>196</xdr:row>
      <xdr:rowOff>149368</xdr:rowOff>
    </xdr:from>
    <xdr:to>
      <xdr:col>10</xdr:col>
      <xdr:colOff>495300</xdr:colOff>
      <xdr:row>201</xdr:row>
      <xdr:rowOff>97366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32A70C8-CAA4-4FFF-379F-B4F4DEEBA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241700" y="40078168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10</xdr:col>
      <xdr:colOff>495300</xdr:colOff>
      <xdr:row>196</xdr:row>
      <xdr:rowOff>149368</xdr:rowOff>
    </xdr:from>
    <xdr:to>
      <xdr:col>11</xdr:col>
      <xdr:colOff>588433</xdr:colOff>
      <xdr:row>201</xdr:row>
      <xdr:rowOff>97366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354E45E-955A-E346-8178-741389BBE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5323067" y="40078168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9</xdr:col>
      <xdr:colOff>389466</xdr:colOff>
      <xdr:row>201</xdr:row>
      <xdr:rowOff>115501</xdr:rowOff>
    </xdr:from>
    <xdr:to>
      <xdr:col>10</xdr:col>
      <xdr:colOff>482599</xdr:colOff>
      <xdr:row>206</xdr:row>
      <xdr:rowOff>63499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CF17806-D512-1B45-8B5D-71BA01A65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254401" y="41060301"/>
          <a:ext cx="918633" cy="963998"/>
        </a:xfrm>
        <a:prstGeom prst="rect">
          <a:avLst/>
        </a:prstGeom>
      </xdr:spPr>
    </xdr:pic>
    <xdr:clientData/>
  </xdr:twoCellAnchor>
  <xdr:twoCellAnchor editAs="oneCell">
    <xdr:from>
      <xdr:col>10</xdr:col>
      <xdr:colOff>482599</xdr:colOff>
      <xdr:row>201</xdr:row>
      <xdr:rowOff>115501</xdr:rowOff>
    </xdr:from>
    <xdr:to>
      <xdr:col>11</xdr:col>
      <xdr:colOff>575732</xdr:colOff>
      <xdr:row>206</xdr:row>
      <xdr:rowOff>63499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1135DE0-D4B5-8640-954C-F4FCFD9A9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5335768" y="41060301"/>
          <a:ext cx="918633" cy="963998"/>
        </a:xfrm>
        <a:prstGeom prst="rect">
          <a:avLst/>
        </a:prstGeom>
      </xdr:spPr>
    </xdr:pic>
    <xdr:clientData/>
  </xdr:twoCellAnchor>
  <xdr:oneCellAnchor>
    <xdr:from>
      <xdr:col>3</xdr:col>
      <xdr:colOff>0</xdr:colOff>
      <xdr:row>217</xdr:row>
      <xdr:rowOff>0</xdr:rowOff>
    </xdr:from>
    <xdr:ext cx="3418033" cy="2278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50ECF117-8AEB-6740-AFB9-2DE613FEC06F}"/>
                </a:ext>
              </a:extLst>
            </xdr:cNvPr>
            <xdr:cNvSpPr txBox="1"/>
          </xdr:nvSpPr>
          <xdr:spPr>
            <a:xfrm>
              <a:off x="13519173667" y="44196000"/>
              <a:ext cx="3418033" cy="227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𝐼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%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𝑞𝑢𝑎𝑟𝑡𝑒𝑟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50ECF117-8AEB-6740-AFB9-2DE613FEC06F}"/>
                </a:ext>
              </a:extLst>
            </xdr:cNvPr>
            <xdr:cNvSpPr txBox="1"/>
          </xdr:nvSpPr>
          <xdr:spPr>
            <a:xfrm>
              <a:off x="13519173667" y="44196000"/>
              <a:ext cx="3418033" cy="2278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𝐼%_𝐴𝑁𝑁𝑈𝐴𝐿=(1+𝐼%_𝑞𝑢𝑎𝑟𝑡𝑒𝑟 )^4−1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749300</xdr:colOff>
      <xdr:row>220</xdr:row>
      <xdr:rowOff>46566</xdr:rowOff>
    </xdr:from>
    <xdr:ext cx="3418033" cy="17652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2D67D378-F993-6C94-6F2D-0D9A9DA00969}"/>
                </a:ext>
              </a:extLst>
            </xdr:cNvPr>
            <xdr:cNvSpPr txBox="1"/>
          </xdr:nvSpPr>
          <xdr:spPr>
            <a:xfrm>
              <a:off x="13519249867" y="44852166"/>
              <a:ext cx="3418033" cy="17652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%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𝐴𝑁𝑁𝑈𝐴𝐿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2.398%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2D67D378-F993-6C94-6F2D-0D9A9DA00969}"/>
                </a:ext>
              </a:extLst>
            </xdr:cNvPr>
            <xdr:cNvSpPr txBox="1"/>
          </xdr:nvSpPr>
          <xdr:spPr>
            <a:xfrm>
              <a:off x="13519249867" y="44852166"/>
              <a:ext cx="3418033" cy="17652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𝐼%_𝐴𝑁𝑁𝑈𝐴𝐿=(1+</a:t>
              </a:r>
              <a:r>
                <a:rPr lang="he-IL" sz="1100" b="0" i="0">
                  <a:latin typeface="Cambria Math" panose="02040503050406030204" pitchFamily="18" charset="0"/>
                </a:rPr>
                <a:t>2.398%</a:t>
              </a:r>
              <a:r>
                <a:rPr lang="en-US" sz="1100" b="0" i="0">
                  <a:latin typeface="Cambria Math" panose="02040503050406030204" pitchFamily="18" charset="0"/>
                </a:rPr>
                <a:t>)^4−1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340629</xdr:colOff>
      <xdr:row>44</xdr:row>
      <xdr:rowOff>96721</xdr:rowOff>
    </xdr:from>
    <xdr:to>
      <xdr:col>2</xdr:col>
      <xdr:colOff>685464</xdr:colOff>
      <xdr:row>50</xdr:row>
      <xdr:rowOff>67285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B4864D3F-5137-81AD-B8DB-8582D86A199D}"/>
            </a:ext>
          </a:extLst>
        </xdr:cNvPr>
        <xdr:cNvSpPr/>
      </xdr:nvSpPr>
      <xdr:spPr>
        <a:xfrm>
          <a:off x="13502063874" y="9079238"/>
          <a:ext cx="344835" cy="11816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340178</xdr:colOff>
      <xdr:row>191</xdr:row>
      <xdr:rowOff>36285</xdr:rowOff>
    </xdr:from>
    <xdr:to>
      <xdr:col>2</xdr:col>
      <xdr:colOff>367393</xdr:colOff>
      <xdr:row>192</xdr:row>
      <xdr:rowOff>68036</xdr:rowOff>
    </xdr:to>
    <xdr:sp macro="" textlink="">
      <xdr:nvSpPr>
        <xdr:cNvPr id="29" name="Freeform 28">
          <a:extLst>
            <a:ext uri="{FF2B5EF4-FFF2-40B4-BE49-F238E27FC236}">
              <a16:creationId xmlns:a16="http://schemas.microsoft.com/office/drawing/2014/main" id="{9780DD94-ED67-479D-F29E-8C0B13F7AF0D}"/>
            </a:ext>
          </a:extLst>
        </xdr:cNvPr>
        <xdr:cNvSpPr/>
      </xdr:nvSpPr>
      <xdr:spPr>
        <a:xfrm>
          <a:off x="13523050714" y="39156821"/>
          <a:ext cx="1678215" cy="235858"/>
        </a:xfrm>
        <a:custGeom>
          <a:avLst/>
          <a:gdLst>
            <a:gd name="connsiteX0" fmla="*/ 0 w 1678215"/>
            <a:gd name="connsiteY0" fmla="*/ 235858 h 235858"/>
            <a:gd name="connsiteX1" fmla="*/ 739322 w 1678215"/>
            <a:gd name="connsiteY1" fmla="*/ 0 h 235858"/>
            <a:gd name="connsiteX2" fmla="*/ 1678215 w 1678215"/>
            <a:gd name="connsiteY2" fmla="*/ 235858 h 23585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78215" h="235858">
              <a:moveTo>
                <a:pt x="0" y="235858"/>
              </a:moveTo>
              <a:cubicBezTo>
                <a:pt x="229810" y="117929"/>
                <a:pt x="459620" y="0"/>
                <a:pt x="739322" y="0"/>
              </a:cubicBezTo>
              <a:cubicBezTo>
                <a:pt x="1019024" y="0"/>
                <a:pt x="1348619" y="117929"/>
                <a:pt x="1678215" y="235858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380137</xdr:colOff>
      <xdr:row>239</xdr:row>
      <xdr:rowOff>154042</xdr:rowOff>
    </xdr:from>
    <xdr:ext cx="1584307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8AEBC34-1C28-CA00-EF6D-C7E55C2C4350}"/>
                </a:ext>
              </a:extLst>
            </xdr:cNvPr>
            <xdr:cNvSpPr txBox="1"/>
          </xdr:nvSpPr>
          <xdr:spPr>
            <a:xfrm>
              <a:off x="13513552665" y="48807137"/>
              <a:ext cx="1584307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8AEBC34-1C28-CA00-EF6D-C7E55C2C4350}"/>
                </a:ext>
              </a:extLst>
            </xdr:cNvPr>
            <xdr:cNvSpPr txBox="1"/>
          </xdr:nvSpPr>
          <xdr:spPr>
            <a:xfrm>
              <a:off x="13513552665" y="48807137"/>
              <a:ext cx="1584307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𝐼%=(1+5%)^(1/12)−1=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8758</xdr:colOff>
      <xdr:row>54</xdr:row>
      <xdr:rowOff>91966</xdr:rowOff>
    </xdr:from>
    <xdr:to>
      <xdr:col>6</xdr:col>
      <xdr:colOff>788275</xdr:colOff>
      <xdr:row>54</xdr:row>
      <xdr:rowOff>96345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5135922-5FFC-164A-8190-34929AA880D2}"/>
            </a:ext>
          </a:extLst>
        </xdr:cNvPr>
        <xdr:cNvCxnSpPr/>
      </xdr:nvCxnSpPr>
      <xdr:spPr>
        <a:xfrm>
          <a:off x="13555112897" y="10646104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68</xdr:row>
      <xdr:rowOff>0</xdr:rowOff>
    </xdr:from>
    <xdr:to>
      <xdr:col>0</xdr:col>
      <xdr:colOff>768644</xdr:colOff>
      <xdr:row>71</xdr:row>
      <xdr:rowOff>117955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0CA7DCB-14E7-D59F-4AE5-CF2ED2E5A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7444359" y="13612198"/>
          <a:ext cx="768644" cy="731331"/>
        </a:xfrm>
        <a:prstGeom prst="rect">
          <a:avLst/>
        </a:prstGeom>
      </xdr:spPr>
    </xdr:pic>
    <xdr:clientData/>
  </xdr:twoCellAnchor>
  <xdr:twoCellAnchor>
    <xdr:from>
      <xdr:col>6</xdr:col>
      <xdr:colOff>8758</xdr:colOff>
      <xdr:row>84</xdr:row>
      <xdr:rowOff>91966</xdr:rowOff>
    </xdr:from>
    <xdr:to>
      <xdr:col>6</xdr:col>
      <xdr:colOff>788275</xdr:colOff>
      <xdr:row>84</xdr:row>
      <xdr:rowOff>96345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FF356074-9397-554B-A238-2BFAC9FECFB8}"/>
            </a:ext>
          </a:extLst>
        </xdr:cNvPr>
        <xdr:cNvCxnSpPr/>
      </xdr:nvCxnSpPr>
      <xdr:spPr>
        <a:xfrm>
          <a:off x="13529863000" y="10783293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8758</xdr:colOff>
      <xdr:row>106</xdr:row>
      <xdr:rowOff>91966</xdr:rowOff>
    </xdr:from>
    <xdr:to>
      <xdr:col>6</xdr:col>
      <xdr:colOff>788275</xdr:colOff>
      <xdr:row>106</xdr:row>
      <xdr:rowOff>96345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9141B9CE-F35F-E14A-B550-5575EDAAB3ED}"/>
            </a:ext>
          </a:extLst>
        </xdr:cNvPr>
        <xdr:cNvCxnSpPr/>
      </xdr:nvCxnSpPr>
      <xdr:spPr>
        <a:xfrm>
          <a:off x="13519250725" y="16964823"/>
          <a:ext cx="779517" cy="43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289588</xdr:colOff>
      <xdr:row>151</xdr:row>
      <xdr:rowOff>115138</xdr:rowOff>
    </xdr:from>
    <xdr:to>
      <xdr:col>5</xdr:col>
      <xdr:colOff>704780</xdr:colOff>
      <xdr:row>151</xdr:row>
      <xdr:rowOff>129094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8201EA24-AADE-CD4D-E14C-FF0CA5497A24}"/>
            </a:ext>
          </a:extLst>
        </xdr:cNvPr>
        <xdr:cNvCxnSpPr/>
      </xdr:nvCxnSpPr>
      <xdr:spPr>
        <a:xfrm flipH="1" flipV="1">
          <a:off x="13543018324" y="31320852"/>
          <a:ext cx="1242088" cy="139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48845</xdr:colOff>
      <xdr:row>160</xdr:row>
      <xdr:rowOff>104670</xdr:rowOff>
    </xdr:from>
    <xdr:to>
      <xdr:col>6</xdr:col>
      <xdr:colOff>739670</xdr:colOff>
      <xdr:row>160</xdr:row>
      <xdr:rowOff>111648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F8CAA920-A684-5175-85A9-8E1164206236}"/>
            </a:ext>
          </a:extLst>
        </xdr:cNvPr>
        <xdr:cNvCxnSpPr/>
      </xdr:nvCxnSpPr>
      <xdr:spPr>
        <a:xfrm flipH="1" flipV="1">
          <a:off x="13542156538" y="33131648"/>
          <a:ext cx="690825" cy="69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809450</xdr:colOff>
      <xdr:row>151</xdr:row>
      <xdr:rowOff>10467</xdr:rowOff>
    </xdr:from>
    <xdr:to>
      <xdr:col>8</xdr:col>
      <xdr:colOff>139560</xdr:colOff>
      <xdr:row>151</xdr:row>
      <xdr:rowOff>195385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52A38C03-EA65-A752-DDA2-EBA7EF297EEC}"/>
            </a:ext>
          </a:extLst>
        </xdr:cNvPr>
        <xdr:cNvSpPr/>
      </xdr:nvSpPr>
      <xdr:spPr>
        <a:xfrm>
          <a:off x="13541102857" y="31216181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151</xdr:row>
      <xdr:rowOff>195384</xdr:rowOff>
    </xdr:from>
    <xdr:to>
      <xdr:col>7</xdr:col>
      <xdr:colOff>139561</xdr:colOff>
      <xdr:row>152</xdr:row>
      <xdr:rowOff>177939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B369B3C7-14E7-A778-B681-3E7B7A1FEB72}"/>
            </a:ext>
          </a:extLst>
        </xdr:cNvPr>
        <xdr:cNvSpPr/>
      </xdr:nvSpPr>
      <xdr:spPr>
        <a:xfrm>
          <a:off x="13541929752" y="31401098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132582</xdr:colOff>
      <xdr:row>153</xdr:row>
      <xdr:rowOff>6977</xdr:rowOff>
    </xdr:from>
    <xdr:to>
      <xdr:col>5</xdr:col>
      <xdr:colOff>289588</xdr:colOff>
      <xdr:row>153</xdr:row>
      <xdr:rowOff>191895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D3A39F2C-49B3-DB54-794A-D7DCFA023E88}"/>
            </a:ext>
          </a:extLst>
        </xdr:cNvPr>
        <xdr:cNvSpPr/>
      </xdr:nvSpPr>
      <xdr:spPr>
        <a:xfrm>
          <a:off x="13543342802" y="31617417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628022</xdr:colOff>
      <xdr:row>160</xdr:row>
      <xdr:rowOff>195384</xdr:rowOff>
    </xdr:from>
    <xdr:to>
      <xdr:col>5</xdr:col>
      <xdr:colOff>785028</xdr:colOff>
      <xdr:row>161</xdr:row>
      <xdr:rowOff>177939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DD35AFE5-B3AB-5A44-AFEF-7F07ACB30D92}"/>
            </a:ext>
          </a:extLst>
        </xdr:cNvPr>
        <xdr:cNvSpPr/>
      </xdr:nvSpPr>
      <xdr:spPr>
        <a:xfrm>
          <a:off x="13542847362" y="33222362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159</xdr:row>
      <xdr:rowOff>202362</xdr:rowOff>
    </xdr:from>
    <xdr:to>
      <xdr:col>7</xdr:col>
      <xdr:colOff>139561</xdr:colOff>
      <xdr:row>160</xdr:row>
      <xdr:rowOff>184917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A7C25EBE-8CD9-1A3B-A90D-D154FDD3BBFF}"/>
            </a:ext>
          </a:extLst>
        </xdr:cNvPr>
        <xdr:cNvSpPr/>
      </xdr:nvSpPr>
      <xdr:spPr>
        <a:xfrm>
          <a:off x="13541839038" y="33026977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5</a:t>
          </a:r>
        </a:p>
      </xdr:txBody>
    </xdr:sp>
    <xdr:clientData/>
  </xdr:twoCellAnchor>
  <xdr:twoCellAnchor>
    <xdr:from>
      <xdr:col>6</xdr:col>
      <xdr:colOff>812939</xdr:colOff>
      <xdr:row>161</xdr:row>
      <xdr:rowOff>24422</xdr:rowOff>
    </xdr:from>
    <xdr:to>
      <xdr:col>7</xdr:col>
      <xdr:colOff>143050</xdr:colOff>
      <xdr:row>162</xdr:row>
      <xdr:rowOff>6978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66D0F514-FC23-BD33-0B65-1CC12572876A}"/>
            </a:ext>
          </a:extLst>
        </xdr:cNvPr>
        <xdr:cNvSpPr/>
      </xdr:nvSpPr>
      <xdr:spPr>
        <a:xfrm>
          <a:off x="13541835549" y="33253763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6</a:t>
          </a:r>
        </a:p>
      </xdr:txBody>
    </xdr:sp>
    <xdr:clientData/>
  </xdr:twoCellAnchor>
  <xdr:twoCellAnchor>
    <xdr:from>
      <xdr:col>4</xdr:col>
      <xdr:colOff>289588</xdr:colOff>
      <xdr:row>189</xdr:row>
      <xdr:rowOff>115138</xdr:rowOff>
    </xdr:from>
    <xdr:to>
      <xdr:col>5</xdr:col>
      <xdr:colOff>704780</xdr:colOff>
      <xdr:row>189</xdr:row>
      <xdr:rowOff>129094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934EA99-668E-EA44-A0C2-8587C91A19EE}"/>
            </a:ext>
          </a:extLst>
        </xdr:cNvPr>
        <xdr:cNvCxnSpPr/>
      </xdr:nvCxnSpPr>
      <xdr:spPr>
        <a:xfrm flipH="1" flipV="1">
          <a:off x="13548696076" y="31286453"/>
          <a:ext cx="1242440" cy="139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48845</xdr:colOff>
      <xdr:row>199</xdr:row>
      <xdr:rowOff>104670</xdr:rowOff>
    </xdr:from>
    <xdr:to>
      <xdr:col>6</xdr:col>
      <xdr:colOff>739670</xdr:colOff>
      <xdr:row>199</xdr:row>
      <xdr:rowOff>111648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A740BE2D-3688-454E-9490-C5B50F7DE334}"/>
            </a:ext>
          </a:extLst>
        </xdr:cNvPr>
        <xdr:cNvCxnSpPr/>
      </xdr:nvCxnSpPr>
      <xdr:spPr>
        <a:xfrm flipH="1" flipV="1">
          <a:off x="13547833939" y="33093600"/>
          <a:ext cx="690825" cy="69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809450</xdr:colOff>
      <xdr:row>189</xdr:row>
      <xdr:rowOff>10467</xdr:rowOff>
    </xdr:from>
    <xdr:to>
      <xdr:col>8</xdr:col>
      <xdr:colOff>139560</xdr:colOff>
      <xdr:row>189</xdr:row>
      <xdr:rowOff>195385</xdr:rowOff>
    </xdr:to>
    <xdr:sp macro="" textlink="">
      <xdr:nvSpPr>
        <xdr:cNvPr id="19" name="Rounded Rectangle 18">
          <a:extLst>
            <a:ext uri="{FF2B5EF4-FFF2-40B4-BE49-F238E27FC236}">
              <a16:creationId xmlns:a16="http://schemas.microsoft.com/office/drawing/2014/main" id="{D4EE3F5C-145D-E84D-8F76-A155FFD4B40C}"/>
            </a:ext>
          </a:extLst>
        </xdr:cNvPr>
        <xdr:cNvSpPr/>
      </xdr:nvSpPr>
      <xdr:spPr>
        <a:xfrm>
          <a:off x="13546868881" y="31181782"/>
          <a:ext cx="144230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189</xdr:row>
      <xdr:rowOff>195384</xdr:rowOff>
    </xdr:from>
    <xdr:to>
      <xdr:col>7</xdr:col>
      <xdr:colOff>139561</xdr:colOff>
      <xdr:row>190</xdr:row>
      <xdr:rowOff>177939</xdr:rowOff>
    </xdr:to>
    <xdr:sp macro="" textlink="">
      <xdr:nvSpPr>
        <xdr:cNvPr id="20" name="Rounded Rectangle 19">
          <a:extLst>
            <a:ext uri="{FF2B5EF4-FFF2-40B4-BE49-F238E27FC236}">
              <a16:creationId xmlns:a16="http://schemas.microsoft.com/office/drawing/2014/main" id="{592CEB03-2D47-7F44-B7F5-4DA42BA4B917}"/>
            </a:ext>
          </a:extLst>
        </xdr:cNvPr>
        <xdr:cNvSpPr/>
      </xdr:nvSpPr>
      <xdr:spPr>
        <a:xfrm>
          <a:off x="13547606800" y="31366699"/>
          <a:ext cx="157359" cy="1845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132582</xdr:colOff>
      <xdr:row>191</xdr:row>
      <xdr:rowOff>6977</xdr:rowOff>
    </xdr:from>
    <xdr:to>
      <xdr:col>5</xdr:col>
      <xdr:colOff>289588</xdr:colOff>
      <xdr:row>191</xdr:row>
      <xdr:rowOff>191895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3637AA9F-B6B8-8F46-BB60-60230AEE29B9}"/>
            </a:ext>
          </a:extLst>
        </xdr:cNvPr>
        <xdr:cNvSpPr/>
      </xdr:nvSpPr>
      <xdr:spPr>
        <a:xfrm>
          <a:off x="13549111268" y="31582206"/>
          <a:ext cx="157006" cy="18491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628022</xdr:colOff>
      <xdr:row>199</xdr:row>
      <xdr:rowOff>195384</xdr:rowOff>
    </xdr:from>
    <xdr:to>
      <xdr:col>5</xdr:col>
      <xdr:colOff>785028</xdr:colOff>
      <xdr:row>200</xdr:row>
      <xdr:rowOff>177939</xdr:rowOff>
    </xdr:to>
    <xdr:sp macro="" textlink="">
      <xdr:nvSpPr>
        <xdr:cNvPr id="22" name="Rounded Rectangle 21">
          <a:extLst>
            <a:ext uri="{FF2B5EF4-FFF2-40B4-BE49-F238E27FC236}">
              <a16:creationId xmlns:a16="http://schemas.microsoft.com/office/drawing/2014/main" id="{FAB3358E-B08E-E24E-8D18-528965198055}"/>
            </a:ext>
          </a:extLst>
        </xdr:cNvPr>
        <xdr:cNvSpPr/>
      </xdr:nvSpPr>
      <xdr:spPr>
        <a:xfrm>
          <a:off x="13548615828" y="33184314"/>
          <a:ext cx="157006" cy="1845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6</xdr:col>
      <xdr:colOff>809450</xdr:colOff>
      <xdr:row>198</xdr:row>
      <xdr:rowOff>202362</xdr:rowOff>
    </xdr:from>
    <xdr:to>
      <xdr:col>7</xdr:col>
      <xdr:colOff>139561</xdr:colOff>
      <xdr:row>199</xdr:row>
      <xdr:rowOff>184917</xdr:rowOff>
    </xdr:to>
    <xdr:sp macro="" textlink="">
      <xdr:nvSpPr>
        <xdr:cNvPr id="23" name="Rounded Rectangle 22">
          <a:extLst>
            <a:ext uri="{FF2B5EF4-FFF2-40B4-BE49-F238E27FC236}">
              <a16:creationId xmlns:a16="http://schemas.microsoft.com/office/drawing/2014/main" id="{F53F9799-AC56-B845-B58B-E39A3CC96DE6}"/>
            </a:ext>
          </a:extLst>
        </xdr:cNvPr>
        <xdr:cNvSpPr/>
      </xdr:nvSpPr>
      <xdr:spPr>
        <a:xfrm>
          <a:off x="13547606800" y="32989334"/>
          <a:ext cx="157359" cy="1845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5</a:t>
          </a:r>
        </a:p>
      </xdr:txBody>
    </xdr:sp>
    <xdr:clientData/>
  </xdr:twoCellAnchor>
  <xdr:twoCellAnchor>
    <xdr:from>
      <xdr:col>6</xdr:col>
      <xdr:colOff>812939</xdr:colOff>
      <xdr:row>200</xdr:row>
      <xdr:rowOff>24422</xdr:rowOff>
    </xdr:from>
    <xdr:to>
      <xdr:col>7</xdr:col>
      <xdr:colOff>143050</xdr:colOff>
      <xdr:row>201</xdr:row>
      <xdr:rowOff>6978</xdr:rowOff>
    </xdr:to>
    <xdr:sp macro="" textlink="">
      <xdr:nvSpPr>
        <xdr:cNvPr id="24" name="Rounded Rectangle 23">
          <a:extLst>
            <a:ext uri="{FF2B5EF4-FFF2-40B4-BE49-F238E27FC236}">
              <a16:creationId xmlns:a16="http://schemas.microsoft.com/office/drawing/2014/main" id="{7375E75C-B6F3-5641-9E01-7170CA38E66B}"/>
            </a:ext>
          </a:extLst>
        </xdr:cNvPr>
        <xdr:cNvSpPr/>
      </xdr:nvSpPr>
      <xdr:spPr>
        <a:xfrm>
          <a:off x="13547603311" y="33215309"/>
          <a:ext cx="157359" cy="1845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6</a:t>
          </a:r>
        </a:p>
      </xdr:txBody>
    </xdr:sp>
    <xdr:clientData/>
  </xdr:twoCellAnchor>
  <xdr:twoCellAnchor editAs="oneCell">
    <xdr:from>
      <xdr:col>7</xdr:col>
      <xdr:colOff>571502</xdr:colOff>
      <xdr:row>201</xdr:row>
      <xdr:rowOff>151630</xdr:rowOff>
    </xdr:from>
    <xdr:to>
      <xdr:col>13</xdr:col>
      <xdr:colOff>556080</xdr:colOff>
      <xdr:row>211</xdr:row>
      <xdr:rowOff>67570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C828E2A-E0CD-6C18-39BB-0C7C2C690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3704420" y="41843916"/>
          <a:ext cx="4846864" cy="195701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53915</xdr:colOff>
      <xdr:row>2</xdr:row>
      <xdr:rowOff>77877</xdr:rowOff>
    </xdr:from>
    <xdr:to>
      <xdr:col>10</xdr:col>
      <xdr:colOff>475205</xdr:colOff>
      <xdr:row>13</xdr:row>
      <xdr:rowOff>167736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310F54-DD73-36EA-C18E-DAEF3C333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5879701" y="497217"/>
          <a:ext cx="2074686" cy="2354293"/>
        </a:xfrm>
        <a:prstGeom prst="rect">
          <a:avLst/>
        </a:prstGeom>
      </xdr:spPr>
    </xdr:pic>
    <xdr:clientData/>
  </xdr:twoCellAnchor>
  <xdr:twoCellAnchor editAs="oneCell">
    <xdr:from>
      <xdr:col>7</xdr:col>
      <xdr:colOff>627742</xdr:colOff>
      <xdr:row>63</xdr:row>
      <xdr:rowOff>185059</xdr:rowOff>
    </xdr:from>
    <xdr:to>
      <xdr:col>9</xdr:col>
      <xdr:colOff>199570</xdr:colOff>
      <xdr:row>69</xdr:row>
      <xdr:rowOff>164013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0F9F87C-DAF0-029E-3A37-5CAB35E45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7071858" y="13218888"/>
          <a:ext cx="1226457" cy="1198154"/>
        </a:xfrm>
        <a:prstGeom prst="rect">
          <a:avLst/>
        </a:prstGeom>
      </xdr:spPr>
    </xdr:pic>
    <xdr:clientData/>
  </xdr:twoCellAnchor>
  <xdr:oneCellAnchor>
    <xdr:from>
      <xdr:col>2</xdr:col>
      <xdr:colOff>584971</xdr:colOff>
      <xdr:row>156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F2E9F2A2-485C-346A-8B69-99551C76E544}"/>
                </a:ext>
              </a:extLst>
            </xdr:cNvPr>
            <xdr:cNvSpPr txBox="1"/>
          </xdr:nvSpPr>
          <xdr:spPr>
            <a:xfrm>
              <a:off x="13553079982" y="32010541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l-GR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Σ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F2E9F2A2-485C-346A-8B69-99551C76E544}"/>
                </a:ext>
              </a:extLst>
            </xdr:cNvPr>
            <xdr:cNvSpPr txBox="1"/>
          </xdr:nvSpPr>
          <xdr:spPr>
            <a:xfrm>
              <a:off x="13553079982" y="32010541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l-GR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Σ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584971</xdr:colOff>
      <xdr:row>167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0263E30-FAE9-6F4A-B43C-74B65B1EFA7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𝐴𝐿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0263E30-FAE9-6F4A-B43C-74B65B1EFA7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8</xdr:col>
      <xdr:colOff>584971</xdr:colOff>
      <xdr:row>179</xdr:row>
      <xdr:rowOff>6541</xdr:rowOff>
    </xdr:from>
    <xdr:ext cx="119898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FD3453-670F-B94F-BCB3-B66E5EDE5A5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𝐴𝐿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FD3453-670F-B94F-BCB3-B66E5EDE5A5E}"/>
                </a:ext>
              </a:extLst>
            </xdr:cNvPr>
            <xdr:cNvSpPr txBox="1"/>
          </xdr:nvSpPr>
          <xdr:spPr>
            <a:xfrm>
              <a:off x="13490821992" y="34385756"/>
              <a:ext cx="119898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5</xdr:col>
      <xdr:colOff>755702</xdr:colOff>
      <xdr:row>186</xdr:row>
      <xdr:rowOff>80013</xdr:rowOff>
    </xdr:from>
    <xdr:ext cx="3237636" cy="3499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869CAFA-C09D-3A08-03AF-50722111CE9A}"/>
                </a:ext>
              </a:extLst>
            </xdr:cNvPr>
            <xdr:cNvSpPr txBox="1"/>
          </xdr:nvSpPr>
          <xdr:spPr>
            <a:xfrm>
              <a:off x="13491084389" y="38379434"/>
              <a:ext cx="3237636" cy="3499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Zamud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BAL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𝐻𝑎𝑑𝑎𝑠h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𝐵𝑎𝑠𝑖𝑠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D869CAFA-C09D-3A08-03AF-50722111CE9A}"/>
                </a:ext>
              </a:extLst>
            </xdr:cNvPr>
            <xdr:cNvSpPr txBox="1"/>
          </xdr:nvSpPr>
          <xdr:spPr>
            <a:xfrm>
              <a:off x="13491084389" y="38379434"/>
              <a:ext cx="3237636" cy="3499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Zamud=BAL∗(𝑀𝑎𝑑𝑎𝑑_𝐻𝑎𝑑𝑎𝑠ℎ)/(𝑀𝑎𝑑𝑎𝑑_𝐵𝑎𝑠𝑖𝑠 )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  <xdr:oneCellAnchor>
    <xdr:from>
      <xdr:col>5</xdr:col>
      <xdr:colOff>755702</xdr:colOff>
      <xdr:row>188</xdr:row>
      <xdr:rowOff>59021</xdr:rowOff>
    </xdr:from>
    <xdr:ext cx="323763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80A3852-E7D6-1AD5-DD03-9CAB81A70B24}"/>
                </a:ext>
              </a:extLst>
            </xdr:cNvPr>
            <xdr:cNvSpPr txBox="1"/>
          </xdr:nvSpPr>
          <xdr:spPr>
            <a:xfrm>
              <a:off x="13491084389" y="38767781"/>
              <a:ext cx="323763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𝐵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𝐴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Zamud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=628,994.14∗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109.5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104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 b="0">
                <a:ea typeface="Cambria Math" panose="02040503050406030204" pitchFamily="18" charset="0"/>
              </a:endParaRPr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80A3852-E7D6-1AD5-DD03-9CAB81A70B24}"/>
                </a:ext>
              </a:extLst>
            </xdr:cNvPr>
            <xdr:cNvSpPr txBox="1"/>
          </xdr:nvSpPr>
          <xdr:spPr>
            <a:xfrm>
              <a:off x="13491084389" y="38767781"/>
              <a:ext cx="323763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𝐵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𝐴𝐿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Zamud=628,994.14∗109.5/104=</a:t>
              </a:r>
              <a:endParaRPr lang="en-US" sz="1100" b="0">
                <a:ea typeface="Cambria Math" panose="02040503050406030204" pitchFamily="18" charset="0"/>
              </a:endParaRPr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707740</xdr:colOff>
      <xdr:row>191</xdr:row>
      <xdr:rowOff>161208</xdr:rowOff>
    </xdr:from>
    <xdr:to>
      <xdr:col>5</xdr:col>
      <xdr:colOff>121888</xdr:colOff>
      <xdr:row>193</xdr:row>
      <xdr:rowOff>106161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D1F01B-7003-80FF-A3D3-156CBEC25A02}"/>
            </a:ext>
          </a:extLst>
        </xdr:cNvPr>
        <xdr:cNvCxnSpPr/>
      </xdr:nvCxnSpPr>
      <xdr:spPr>
        <a:xfrm flipV="1">
          <a:off x="13523962632" y="39236316"/>
          <a:ext cx="239845" cy="3656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699876</xdr:colOff>
      <xdr:row>191</xdr:row>
      <xdr:rowOff>149413</xdr:rowOff>
    </xdr:from>
    <xdr:to>
      <xdr:col>4</xdr:col>
      <xdr:colOff>114025</xdr:colOff>
      <xdr:row>193</xdr:row>
      <xdr:rowOff>94366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212C7BC7-B1C1-9C50-54B9-3091414EECA1}"/>
            </a:ext>
          </a:extLst>
        </xdr:cNvPr>
        <xdr:cNvCxnSpPr/>
      </xdr:nvCxnSpPr>
      <xdr:spPr>
        <a:xfrm flipV="1">
          <a:off x="13524796192" y="39224521"/>
          <a:ext cx="239845" cy="3656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692013</xdr:colOff>
      <xdr:row>211</xdr:row>
      <xdr:rowOff>121889</xdr:rowOff>
    </xdr:from>
    <xdr:to>
      <xdr:col>5</xdr:col>
      <xdr:colOff>137616</xdr:colOff>
      <xdr:row>213</xdr:row>
      <xdr:rowOff>110093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55623556-43E2-0949-A760-2A0F24C5CEB7}"/>
            </a:ext>
          </a:extLst>
        </xdr:cNvPr>
        <xdr:cNvCxnSpPr/>
      </xdr:nvCxnSpPr>
      <xdr:spPr>
        <a:xfrm flipV="1">
          <a:off x="13523946904" y="43231115"/>
          <a:ext cx="271300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727400</xdr:colOff>
      <xdr:row>211</xdr:row>
      <xdr:rowOff>125821</xdr:rowOff>
    </xdr:from>
    <xdr:to>
      <xdr:col>4</xdr:col>
      <xdr:colOff>173004</xdr:colOff>
      <xdr:row>213</xdr:row>
      <xdr:rowOff>114025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8D9A4BCE-FD21-E21A-F80F-7E0A816A42EC}"/>
            </a:ext>
          </a:extLst>
        </xdr:cNvPr>
        <xdr:cNvCxnSpPr/>
      </xdr:nvCxnSpPr>
      <xdr:spPr>
        <a:xfrm flipV="1">
          <a:off x="13524737213" y="43235047"/>
          <a:ext cx="271300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534738</xdr:colOff>
      <xdr:row>209</xdr:row>
      <xdr:rowOff>200526</xdr:rowOff>
    </xdr:from>
    <xdr:to>
      <xdr:col>1</xdr:col>
      <xdr:colOff>806038</xdr:colOff>
      <xdr:row>211</xdr:row>
      <xdr:rowOff>188730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AEE5B69A-C18A-12ED-F9C5-BF49FC1CB599}"/>
            </a:ext>
          </a:extLst>
        </xdr:cNvPr>
        <xdr:cNvCxnSpPr/>
      </xdr:nvCxnSpPr>
      <xdr:spPr>
        <a:xfrm flipV="1">
          <a:off x="13526581268" y="42900836"/>
          <a:ext cx="271300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743127</xdr:colOff>
      <xdr:row>253</xdr:row>
      <xdr:rowOff>141548</xdr:rowOff>
    </xdr:from>
    <xdr:to>
      <xdr:col>4</xdr:col>
      <xdr:colOff>94366</xdr:colOff>
      <xdr:row>255</xdr:row>
      <xdr:rowOff>106161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08084121-586F-45B0-14A0-81B944D1CE3F}"/>
            </a:ext>
          </a:extLst>
        </xdr:cNvPr>
        <xdr:cNvCxnSpPr/>
      </xdr:nvCxnSpPr>
      <xdr:spPr>
        <a:xfrm flipV="1">
          <a:off x="13524815851" y="52066068"/>
          <a:ext cx="176935" cy="3853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739195</xdr:colOff>
      <xdr:row>253</xdr:row>
      <xdr:rowOff>121889</xdr:rowOff>
    </xdr:from>
    <xdr:to>
      <xdr:col>3</xdr:col>
      <xdr:colOff>90433</xdr:colOff>
      <xdr:row>255</xdr:row>
      <xdr:rowOff>86502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383268BB-2C20-E0E3-6478-A4C0EF18FB3B}"/>
            </a:ext>
          </a:extLst>
        </xdr:cNvPr>
        <xdr:cNvCxnSpPr/>
      </xdr:nvCxnSpPr>
      <xdr:spPr>
        <a:xfrm flipV="1">
          <a:off x="13525645480" y="52046409"/>
          <a:ext cx="176935" cy="3853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668866</xdr:colOff>
      <xdr:row>279</xdr:row>
      <xdr:rowOff>118534</xdr:rowOff>
    </xdr:from>
    <xdr:to>
      <xdr:col>5</xdr:col>
      <xdr:colOff>152400</xdr:colOff>
      <xdr:row>281</xdr:row>
      <xdr:rowOff>88900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BAFBCF8-39FD-6E08-19E5-DF6531E27CF4}"/>
            </a:ext>
          </a:extLst>
        </xdr:cNvPr>
        <xdr:cNvCxnSpPr/>
      </xdr:nvCxnSpPr>
      <xdr:spPr>
        <a:xfrm flipV="1">
          <a:off x="13520712100" y="57116134"/>
          <a:ext cx="309034" cy="37676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711200</xdr:colOff>
      <xdr:row>279</xdr:row>
      <xdr:rowOff>110067</xdr:rowOff>
    </xdr:from>
    <xdr:to>
      <xdr:col>4</xdr:col>
      <xdr:colOff>194734</xdr:colOff>
      <xdr:row>281</xdr:row>
      <xdr:rowOff>80433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755C1FD-8280-B88C-1E39-104C2CEFE589}"/>
            </a:ext>
          </a:extLst>
        </xdr:cNvPr>
        <xdr:cNvCxnSpPr/>
      </xdr:nvCxnSpPr>
      <xdr:spPr>
        <a:xfrm flipV="1">
          <a:off x="13521495266" y="57107667"/>
          <a:ext cx="309034" cy="37676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59268</xdr:colOff>
      <xdr:row>291</xdr:row>
      <xdr:rowOff>52916</xdr:rowOff>
    </xdr:from>
    <xdr:ext cx="1825521" cy="33348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EA22B702-71C4-209F-F7F3-EE21158595C7}"/>
                </a:ext>
              </a:extLst>
            </xdr:cNvPr>
            <xdr:cNvSpPr txBox="1"/>
          </xdr:nvSpPr>
          <xdr:spPr>
            <a:xfrm>
              <a:off x="13517328711" y="59488916"/>
              <a:ext cx="1825521" cy="3334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רצוי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מצוי</m:t>
                            </m:r>
                          </m:den>
                        </m:f>
                      </m:sup>
                    </m:sSup>
                    <m:r>
                      <a:rPr lang="he-IL" sz="1100" b="0" i="0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EA22B702-71C4-209F-F7F3-EE21158595C7}"/>
                </a:ext>
              </a:extLst>
            </xdr:cNvPr>
            <xdr:cNvSpPr txBox="1"/>
          </xdr:nvSpPr>
          <xdr:spPr>
            <a:xfrm>
              <a:off x="13517328711" y="59488916"/>
              <a:ext cx="1825521" cy="3334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𝑟_𝑒=(1+𝑟)^(</a:t>
              </a:r>
              <a:r>
                <a:rPr lang="he-IL" sz="1100" b="0" i="0">
                  <a:latin typeface="Cambria Math" panose="02040503050406030204" pitchFamily="18" charset="0"/>
                </a:rPr>
                <a:t>רצוי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מצוי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656167</xdr:colOff>
      <xdr:row>293</xdr:row>
      <xdr:rowOff>139700</xdr:rowOff>
    </xdr:from>
    <xdr:to>
      <xdr:col>4</xdr:col>
      <xdr:colOff>80433</xdr:colOff>
      <xdr:row>295</xdr:row>
      <xdr:rowOff>50800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AE6E2C9E-00E9-511F-68FD-B80087CACC74}"/>
            </a:ext>
          </a:extLst>
        </xdr:cNvPr>
        <xdr:cNvCxnSpPr/>
      </xdr:nvCxnSpPr>
      <xdr:spPr>
        <a:xfrm flipV="1">
          <a:off x="13521609567" y="59982100"/>
          <a:ext cx="249766" cy="3175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189149</xdr:colOff>
      <xdr:row>21</xdr:row>
      <xdr:rowOff>148617</xdr:rowOff>
    </xdr:from>
    <xdr:to>
      <xdr:col>6</xdr:col>
      <xdr:colOff>783616</xdr:colOff>
      <xdr:row>21</xdr:row>
      <xdr:rowOff>155372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58A98A6-6267-6AEC-5F60-D0634CF9FB14}"/>
            </a:ext>
          </a:extLst>
        </xdr:cNvPr>
        <xdr:cNvCxnSpPr/>
      </xdr:nvCxnSpPr>
      <xdr:spPr>
        <a:xfrm flipV="1">
          <a:off x="13497127660" y="3620851"/>
          <a:ext cx="4715212" cy="67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337761</xdr:colOff>
      <xdr:row>21</xdr:row>
      <xdr:rowOff>84440</xdr:rowOff>
    </xdr:from>
    <xdr:to>
      <xdr:col>5</xdr:col>
      <xdr:colOff>388428</xdr:colOff>
      <xdr:row>22</xdr:row>
      <xdr:rowOff>148614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3E2C5922-D8C5-A390-3DED-4AB6F28B9380}"/>
            </a:ext>
          </a:extLst>
        </xdr:cNvPr>
        <xdr:cNvSpPr/>
      </xdr:nvSpPr>
      <xdr:spPr>
        <a:xfrm rot="16200000">
          <a:off x="13499475137" y="2631194"/>
          <a:ext cx="266833" cy="252311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388280</xdr:colOff>
      <xdr:row>18</xdr:row>
      <xdr:rowOff>0</xdr:rowOff>
    </xdr:from>
    <xdr:to>
      <xdr:col>3</xdr:col>
      <xdr:colOff>396369</xdr:colOff>
      <xdr:row>19</xdr:row>
      <xdr:rowOff>32357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FBC540D-0C21-DC01-ABED-6B6A9EB28276}"/>
            </a:ext>
          </a:extLst>
        </xdr:cNvPr>
        <xdr:cNvCxnSpPr/>
      </xdr:nvCxnSpPr>
      <xdr:spPr>
        <a:xfrm>
          <a:off x="13515493694" y="3672484"/>
          <a:ext cx="8089" cy="234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687580</xdr:colOff>
      <xdr:row>33</xdr:row>
      <xdr:rowOff>169873</xdr:rowOff>
    </xdr:from>
    <xdr:to>
      <xdr:col>5</xdr:col>
      <xdr:colOff>113248</xdr:colOff>
      <xdr:row>35</xdr:row>
      <xdr:rowOff>80892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A6E6B25C-9CA5-B398-22D7-68ABE101E0A7}"/>
            </a:ext>
          </a:extLst>
        </xdr:cNvPr>
        <xdr:cNvCxnSpPr/>
      </xdr:nvCxnSpPr>
      <xdr:spPr>
        <a:xfrm flipV="1">
          <a:off x="13514328854" y="6908153"/>
          <a:ext cx="250764" cy="3154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347835</xdr:colOff>
      <xdr:row>33</xdr:row>
      <xdr:rowOff>97071</xdr:rowOff>
    </xdr:from>
    <xdr:to>
      <xdr:col>4</xdr:col>
      <xdr:colOff>40446</xdr:colOff>
      <xdr:row>33</xdr:row>
      <xdr:rowOff>105160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DD78EA75-7468-940F-E333-BA3461AEA26E}"/>
            </a:ext>
          </a:extLst>
        </xdr:cNvPr>
        <xdr:cNvCxnSpPr/>
      </xdr:nvCxnSpPr>
      <xdr:spPr>
        <a:xfrm>
          <a:off x="13515226752" y="6835351"/>
          <a:ext cx="517706" cy="80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420414</xdr:colOff>
      <xdr:row>50</xdr:row>
      <xdr:rowOff>43793</xdr:rowOff>
    </xdr:from>
    <xdr:to>
      <xdr:col>7</xdr:col>
      <xdr:colOff>258380</xdr:colOff>
      <xdr:row>50</xdr:row>
      <xdr:rowOff>56931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E10B13E-CB2F-239C-C027-0698571063B3}"/>
            </a:ext>
          </a:extLst>
        </xdr:cNvPr>
        <xdr:cNvCxnSpPr/>
      </xdr:nvCxnSpPr>
      <xdr:spPr>
        <a:xfrm>
          <a:off x="13554815103" y="10221310"/>
          <a:ext cx="5833242" cy="131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488294</xdr:colOff>
      <xdr:row>48</xdr:row>
      <xdr:rowOff>6569</xdr:rowOff>
    </xdr:from>
    <xdr:to>
      <xdr:col>6</xdr:col>
      <xdr:colOff>402897</xdr:colOff>
      <xdr:row>49</xdr:row>
      <xdr:rowOff>8758</xdr:rowOff>
    </xdr:to>
    <xdr:sp macro="" textlink="">
      <xdr:nvSpPr>
        <xdr:cNvPr id="18" name="Left Brace 17">
          <a:extLst>
            <a:ext uri="{FF2B5EF4-FFF2-40B4-BE49-F238E27FC236}">
              <a16:creationId xmlns:a16="http://schemas.microsoft.com/office/drawing/2014/main" id="{638E1257-4DC6-B826-FC46-7C8A2F490BBD}"/>
            </a:ext>
          </a:extLst>
        </xdr:cNvPr>
        <xdr:cNvSpPr/>
      </xdr:nvSpPr>
      <xdr:spPr>
        <a:xfrm rot="5400000">
          <a:off x="13556282172" y="8997294"/>
          <a:ext cx="203637" cy="177143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748863</xdr:colOff>
      <xdr:row>47</xdr:row>
      <xdr:rowOff>66128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FEE4E8D-1963-0854-A592-DF785190E74C}"/>
                </a:ext>
              </a:extLst>
            </xdr:cNvPr>
            <xdr:cNvSpPr txBox="1"/>
          </xdr:nvSpPr>
          <xdr:spPr>
            <a:xfrm>
              <a:off x="13555703586" y="9639300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0FEE4E8D-1963-0854-A592-DF785190E74C}"/>
                </a:ext>
              </a:extLst>
            </xdr:cNvPr>
            <xdr:cNvSpPr txBox="1"/>
          </xdr:nvSpPr>
          <xdr:spPr>
            <a:xfrm>
              <a:off x="13555703586" y="9639300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385381</xdr:colOff>
      <xdr:row>48</xdr:row>
      <xdr:rowOff>8422</xdr:rowOff>
    </xdr:from>
    <xdr:to>
      <xdr:col>4</xdr:col>
      <xdr:colOff>422606</xdr:colOff>
      <xdr:row>48</xdr:row>
      <xdr:rowOff>197931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25034743-D852-4BD0-BA24-F365161263FE}"/>
            </a:ext>
          </a:extLst>
        </xdr:cNvPr>
        <xdr:cNvSpPr/>
      </xdr:nvSpPr>
      <xdr:spPr>
        <a:xfrm rot="5400000">
          <a:off x="13496123545" y="9170300"/>
          <a:ext cx="189509" cy="168503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652519</xdr:colOff>
      <xdr:row>47</xdr:row>
      <xdr:rowOff>48611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A7310E9E-2A50-1415-0ED3-06B5BF19BB3B}"/>
                </a:ext>
              </a:extLst>
            </xdr:cNvPr>
            <xdr:cNvSpPr txBox="1"/>
          </xdr:nvSpPr>
          <xdr:spPr>
            <a:xfrm>
              <a:off x="13557455310" y="9621783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A7310E9E-2A50-1415-0ED3-06B5BF19BB3B}"/>
                </a:ext>
              </a:extLst>
            </xdr:cNvPr>
            <xdr:cNvSpPr txBox="1"/>
          </xdr:nvSpPr>
          <xdr:spPr>
            <a:xfrm>
              <a:off x="13557455310" y="9621783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341587</xdr:colOff>
      <xdr:row>52</xdr:row>
      <xdr:rowOff>19706</xdr:rowOff>
    </xdr:from>
    <xdr:to>
      <xdr:col>5</xdr:col>
      <xdr:colOff>302170</xdr:colOff>
      <xdr:row>53</xdr:row>
      <xdr:rowOff>74447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C175C3B6-DD47-79B0-3166-8DC09E4D91A3}"/>
            </a:ext>
          </a:extLst>
        </xdr:cNvPr>
        <xdr:cNvSpPr/>
      </xdr:nvSpPr>
      <xdr:spPr>
        <a:xfrm rot="16200000">
          <a:off x="13557721872" y="9506389"/>
          <a:ext cx="256189" cy="244365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192691</xdr:colOff>
      <xdr:row>53</xdr:row>
      <xdr:rowOff>123059</xdr:rowOff>
    </xdr:from>
    <xdr:ext cx="13055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B4AC7B75-EEEA-014D-6324-A97F4C2E5663}"/>
                </a:ext>
              </a:extLst>
            </xdr:cNvPr>
            <xdr:cNvSpPr txBox="1"/>
          </xdr:nvSpPr>
          <xdr:spPr>
            <a:xfrm>
              <a:off x="13557087448" y="10904921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B4AC7B75-EEEA-014D-6324-A97F4C2E5663}"/>
                </a:ext>
              </a:extLst>
            </xdr:cNvPr>
            <xdr:cNvSpPr txBox="1"/>
          </xdr:nvSpPr>
          <xdr:spPr>
            <a:xfrm>
              <a:off x="13557087448" y="10904921"/>
              <a:ext cx="13055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845207</xdr:colOff>
      <xdr:row>51</xdr:row>
      <xdr:rowOff>65689</xdr:rowOff>
    </xdr:from>
    <xdr:to>
      <xdr:col>6</xdr:col>
      <xdr:colOff>113862</xdr:colOff>
      <xdr:row>51</xdr:row>
      <xdr:rowOff>148896</xdr:rowOff>
    </xdr:to>
    <xdr:sp macro="" textlink="">
      <xdr:nvSpPr>
        <xdr:cNvPr id="24" name="Right Arrow 23">
          <a:extLst>
            <a:ext uri="{FF2B5EF4-FFF2-40B4-BE49-F238E27FC236}">
              <a16:creationId xmlns:a16="http://schemas.microsoft.com/office/drawing/2014/main" id="{58252FCB-5494-5485-4285-DE94053B4F1A}"/>
            </a:ext>
          </a:extLst>
        </xdr:cNvPr>
        <xdr:cNvSpPr/>
      </xdr:nvSpPr>
      <xdr:spPr>
        <a:xfrm>
          <a:off x="13555787311" y="10444655"/>
          <a:ext cx="297793" cy="8320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464207</xdr:colOff>
      <xdr:row>51</xdr:row>
      <xdr:rowOff>65689</xdr:rowOff>
    </xdr:from>
    <xdr:to>
      <xdr:col>5</xdr:col>
      <xdr:colOff>254000</xdr:colOff>
      <xdr:row>51</xdr:row>
      <xdr:rowOff>153275</xdr:rowOff>
    </xdr:to>
    <xdr:sp macro="" textlink="">
      <xdr:nvSpPr>
        <xdr:cNvPr id="25" name="Right Arrow 24">
          <a:extLst>
            <a:ext uri="{FF2B5EF4-FFF2-40B4-BE49-F238E27FC236}">
              <a16:creationId xmlns:a16="http://schemas.microsoft.com/office/drawing/2014/main" id="{3A2C4039-5651-CAF1-A307-4FE29CDB02F9}"/>
            </a:ext>
          </a:extLst>
        </xdr:cNvPr>
        <xdr:cNvSpPr/>
      </xdr:nvSpPr>
      <xdr:spPr>
        <a:xfrm>
          <a:off x="13556676311" y="10444655"/>
          <a:ext cx="617482" cy="8758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687552</xdr:colOff>
      <xdr:row>51</xdr:row>
      <xdr:rowOff>56930</xdr:rowOff>
    </xdr:from>
    <xdr:to>
      <xdr:col>4</xdr:col>
      <xdr:colOff>332827</xdr:colOff>
      <xdr:row>51</xdr:row>
      <xdr:rowOff>153276</xdr:rowOff>
    </xdr:to>
    <xdr:sp macro="" textlink="">
      <xdr:nvSpPr>
        <xdr:cNvPr id="26" name="Right Arrow 25">
          <a:extLst>
            <a:ext uri="{FF2B5EF4-FFF2-40B4-BE49-F238E27FC236}">
              <a16:creationId xmlns:a16="http://schemas.microsoft.com/office/drawing/2014/main" id="{F76A1585-B2FF-5A9C-EC4F-DD275910F35F}"/>
            </a:ext>
          </a:extLst>
        </xdr:cNvPr>
        <xdr:cNvSpPr/>
      </xdr:nvSpPr>
      <xdr:spPr>
        <a:xfrm>
          <a:off x="13557425173" y="10435896"/>
          <a:ext cx="472965" cy="9634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670943</xdr:colOff>
      <xdr:row>51</xdr:row>
      <xdr:rowOff>61309</xdr:rowOff>
    </xdr:from>
    <xdr:to>
      <xdr:col>3</xdr:col>
      <xdr:colOff>184344</xdr:colOff>
      <xdr:row>51</xdr:row>
      <xdr:rowOff>182113</xdr:rowOff>
    </xdr:to>
    <xdr:sp macro="" textlink="">
      <xdr:nvSpPr>
        <xdr:cNvPr id="27" name="Right Arrow 26">
          <a:extLst>
            <a:ext uri="{FF2B5EF4-FFF2-40B4-BE49-F238E27FC236}">
              <a16:creationId xmlns:a16="http://schemas.microsoft.com/office/drawing/2014/main" id="{EC2E61DA-E6A1-7FDA-F0EE-34D305653BC3}"/>
            </a:ext>
          </a:extLst>
        </xdr:cNvPr>
        <xdr:cNvSpPr/>
      </xdr:nvSpPr>
      <xdr:spPr>
        <a:xfrm>
          <a:off x="13502910939" y="10441762"/>
          <a:ext cx="467099" cy="120804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782938</xdr:colOff>
      <xdr:row>60</xdr:row>
      <xdr:rowOff>104696</xdr:rowOff>
    </xdr:from>
    <xdr:to>
      <xdr:col>5</xdr:col>
      <xdr:colOff>191182</xdr:colOff>
      <xdr:row>62</xdr:row>
      <xdr:rowOff>113799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EA2B22B-EEE4-A6EC-9150-8A84B8088AC0}"/>
            </a:ext>
          </a:extLst>
        </xdr:cNvPr>
        <xdr:cNvCxnSpPr/>
      </xdr:nvCxnSpPr>
      <xdr:spPr>
        <a:xfrm flipV="1">
          <a:off x="13494783298" y="12913943"/>
          <a:ext cx="232151" cy="4187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933154</xdr:colOff>
      <xdr:row>50</xdr:row>
      <xdr:rowOff>63728</xdr:rowOff>
    </xdr:from>
    <xdr:to>
      <xdr:col>6</xdr:col>
      <xdr:colOff>109247</xdr:colOff>
      <xdr:row>51</xdr:row>
      <xdr:rowOff>50071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014F509C-97EA-10C1-C2C9-569BCA288A66}"/>
            </a:ext>
          </a:extLst>
        </xdr:cNvPr>
        <xdr:cNvSpPr/>
      </xdr:nvSpPr>
      <xdr:spPr>
        <a:xfrm>
          <a:off x="13493836487" y="10383047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696452</xdr:colOff>
      <xdr:row>50</xdr:row>
      <xdr:rowOff>68280</xdr:rowOff>
    </xdr:from>
    <xdr:to>
      <xdr:col>5</xdr:col>
      <xdr:colOff>77384</xdr:colOff>
      <xdr:row>51</xdr:row>
      <xdr:rowOff>54623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6E85ABB-CCD6-DB4B-80F2-60F04F337819}"/>
            </a:ext>
          </a:extLst>
        </xdr:cNvPr>
        <xdr:cNvSpPr/>
      </xdr:nvSpPr>
      <xdr:spPr>
        <a:xfrm>
          <a:off x="13494897096" y="10387599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27313</xdr:colOff>
      <xdr:row>50</xdr:row>
      <xdr:rowOff>63728</xdr:rowOff>
    </xdr:from>
    <xdr:to>
      <xdr:col>4</xdr:col>
      <xdr:colOff>232152</xdr:colOff>
      <xdr:row>51</xdr:row>
      <xdr:rowOff>50071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4517E7B3-FB7B-11A3-1C45-2683674CF743}"/>
            </a:ext>
          </a:extLst>
        </xdr:cNvPr>
        <xdr:cNvSpPr/>
      </xdr:nvSpPr>
      <xdr:spPr>
        <a:xfrm>
          <a:off x="13495566235" y="10383047"/>
          <a:ext cx="204839" cy="19118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687347</xdr:colOff>
      <xdr:row>60</xdr:row>
      <xdr:rowOff>150215</xdr:rowOff>
    </xdr:from>
    <xdr:to>
      <xdr:col>4</xdr:col>
      <xdr:colOff>95591</xdr:colOff>
      <xdr:row>62</xdr:row>
      <xdr:rowOff>159318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19491D78-0569-7225-4806-3675FC396CA4}"/>
            </a:ext>
          </a:extLst>
        </xdr:cNvPr>
        <xdr:cNvCxnSpPr/>
      </xdr:nvCxnSpPr>
      <xdr:spPr>
        <a:xfrm flipV="1">
          <a:off x="13495702796" y="12959462"/>
          <a:ext cx="232151" cy="4187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855771</xdr:colOff>
      <xdr:row>60</xdr:row>
      <xdr:rowOff>71148</xdr:rowOff>
    </xdr:from>
    <xdr:to>
      <xdr:col>3</xdr:col>
      <xdr:colOff>172975</xdr:colOff>
      <xdr:row>62</xdr:row>
      <xdr:rowOff>103009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AEF7034-CC1E-9DDD-27E0-013C43D7D97D}"/>
            </a:ext>
          </a:extLst>
        </xdr:cNvPr>
        <xdr:cNvCxnSpPr/>
      </xdr:nvCxnSpPr>
      <xdr:spPr>
        <a:xfrm flipV="1">
          <a:off x="13502922308" y="12708846"/>
          <a:ext cx="270902" cy="43442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781168</xdr:colOff>
      <xdr:row>50</xdr:row>
      <xdr:rowOff>67094</xdr:rowOff>
    </xdr:from>
    <xdr:to>
      <xdr:col>3</xdr:col>
      <xdr:colOff>64672</xdr:colOff>
      <xdr:row>51</xdr:row>
      <xdr:rowOff>88651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097EA013-9542-DCB3-95C2-60251098E3AE}"/>
            </a:ext>
          </a:extLst>
        </xdr:cNvPr>
        <xdr:cNvSpPr/>
      </xdr:nvSpPr>
      <xdr:spPr>
        <a:xfrm>
          <a:off x="13503030611" y="10246264"/>
          <a:ext cx="237202" cy="22284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0</xdr:col>
      <xdr:colOff>547028</xdr:colOff>
      <xdr:row>81</xdr:row>
      <xdr:rowOff>105567</xdr:rowOff>
    </xdr:from>
    <xdr:to>
      <xdr:col>7</xdr:col>
      <xdr:colOff>191940</xdr:colOff>
      <xdr:row>81</xdr:row>
      <xdr:rowOff>118363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9E3F5FB0-CFC7-B644-5141-A3D584E6CCD2}"/>
            </a:ext>
          </a:extLst>
        </xdr:cNvPr>
        <xdr:cNvCxnSpPr/>
      </xdr:nvCxnSpPr>
      <xdr:spPr>
        <a:xfrm>
          <a:off x="13516402065" y="17085819"/>
          <a:ext cx="5754988" cy="127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614207</xdr:colOff>
      <xdr:row>82</xdr:row>
      <xdr:rowOff>67179</xdr:rowOff>
    </xdr:from>
    <xdr:to>
      <xdr:col>6</xdr:col>
      <xdr:colOff>233526</xdr:colOff>
      <xdr:row>82</xdr:row>
      <xdr:rowOff>159950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Right Arrow 38">
              <a:extLst>
                <a:ext uri="{FF2B5EF4-FFF2-40B4-BE49-F238E27FC236}">
                  <a16:creationId xmlns:a16="http://schemas.microsoft.com/office/drawing/2014/main" id="{037E56BE-EF22-B1CD-CEAE-6E42CBFB9D9C}"/>
                </a:ext>
              </a:extLst>
            </xdr:cNvPr>
            <xdr:cNvSpPr/>
          </xdr:nvSpPr>
          <xdr:spPr>
            <a:xfrm>
              <a:off x="13517185819" y="17252166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Right Arrow 38">
              <a:extLst>
                <a:ext uri="{FF2B5EF4-FFF2-40B4-BE49-F238E27FC236}">
                  <a16:creationId xmlns:a16="http://schemas.microsoft.com/office/drawing/2014/main" id="{037E56BE-EF22-B1CD-CEAE-6E42CBFB9D9C}"/>
                </a:ext>
              </a:extLst>
            </xdr:cNvPr>
            <xdr:cNvSpPr/>
          </xdr:nvSpPr>
          <xdr:spPr>
            <a:xfrm>
              <a:off x="13517185819" y="17252166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5</xdr:col>
      <xdr:colOff>438263</xdr:colOff>
      <xdr:row>83</xdr:row>
      <xdr:rowOff>256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4E7367A-5663-9ECA-FF3C-CED3B09A8B92}"/>
                </a:ext>
              </a:extLst>
            </xdr:cNvPr>
            <xdr:cNvSpPr txBox="1"/>
          </xdr:nvSpPr>
          <xdr:spPr>
            <a:xfrm>
              <a:off x="13516997659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4E7367A-5663-9ECA-FF3C-CED3B09A8B92}"/>
                </a:ext>
              </a:extLst>
            </xdr:cNvPr>
            <xdr:cNvSpPr txBox="1"/>
          </xdr:nvSpPr>
          <xdr:spPr>
            <a:xfrm>
              <a:off x="13516997659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</a:t>
              </a:r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5</xdr:col>
      <xdr:colOff>937305</xdr:colOff>
      <xdr:row>81</xdr:row>
      <xdr:rowOff>118363</xdr:rowOff>
    </xdr:from>
    <xdr:to>
      <xdr:col>6</xdr:col>
      <xdr:colOff>63980</xdr:colOff>
      <xdr:row>82</xdr:row>
      <xdr:rowOff>57582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70FFC6FB-8C4A-D18F-9BBD-B8E480D0C084}"/>
            </a:ext>
          </a:extLst>
        </xdr:cNvPr>
        <xdr:cNvSpPr/>
      </xdr:nvSpPr>
      <xdr:spPr>
        <a:xfrm>
          <a:off x="13517355365" y="17098615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444661</xdr:colOff>
      <xdr:row>83</xdr:row>
      <xdr:rowOff>201793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43EC653F-59E6-7099-DE7E-D696EB924288}"/>
                </a:ext>
              </a:extLst>
            </xdr:cNvPr>
            <xdr:cNvSpPr txBox="1"/>
          </xdr:nvSpPr>
          <xdr:spPr>
            <a:xfrm>
              <a:off x="13516991261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chemeClr val="accent6">
                            <a:lumMod val="75000"/>
                          </a:schemeClr>
                        </a:solidFill>
                        <a:latin typeface="Cambria Math" panose="02040503050406030204" pitchFamily="18" charset="0"/>
                      </a:rPr>
                      <m:t>𝟏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43EC653F-59E6-7099-DE7E-D696EB924288}"/>
                </a:ext>
              </a:extLst>
            </xdr:cNvPr>
            <xdr:cNvSpPr txBox="1"/>
          </xdr:nvSpPr>
          <xdr:spPr>
            <a:xfrm>
              <a:off x="13516991261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chemeClr val="accent6">
                      <a:lumMod val="75000"/>
                    </a:schemeClr>
                  </a:solidFill>
                  <a:latin typeface="Cambria Math" panose="02040503050406030204" pitchFamily="18" charset="0"/>
                </a:rPr>
                <a:t>𝟏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486248</xdr:colOff>
      <xdr:row>82</xdr:row>
      <xdr:rowOff>54383</xdr:rowOff>
    </xdr:from>
    <xdr:to>
      <xdr:col>5</xdr:col>
      <xdr:colOff>310303</xdr:colOff>
      <xdr:row>82</xdr:row>
      <xdr:rowOff>147154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Right Arrow 43">
              <a:extLst>
                <a:ext uri="{FF2B5EF4-FFF2-40B4-BE49-F238E27FC236}">
                  <a16:creationId xmlns:a16="http://schemas.microsoft.com/office/drawing/2014/main" id="{DF9CAB90-A4C8-4C24-863F-1007A87A7E6C}"/>
                </a:ext>
              </a:extLst>
            </xdr:cNvPr>
            <xdr:cNvSpPr/>
          </xdr:nvSpPr>
          <xdr:spPr>
            <a:xfrm>
              <a:off x="13518139118" y="17239370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Right Arrow 43">
              <a:extLst>
                <a:ext uri="{FF2B5EF4-FFF2-40B4-BE49-F238E27FC236}">
                  <a16:creationId xmlns:a16="http://schemas.microsoft.com/office/drawing/2014/main" id="{DF9CAB90-A4C8-4C24-863F-1007A87A7E6C}"/>
                </a:ext>
              </a:extLst>
            </xdr:cNvPr>
            <xdr:cNvSpPr/>
          </xdr:nvSpPr>
          <xdr:spPr>
            <a:xfrm>
              <a:off x="13518139118" y="17239370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4</xdr:col>
      <xdr:colOff>719774</xdr:colOff>
      <xdr:row>81</xdr:row>
      <xdr:rowOff>105567</xdr:rowOff>
    </xdr:from>
    <xdr:to>
      <xdr:col>5</xdr:col>
      <xdr:colOff>51185</xdr:colOff>
      <xdr:row>82</xdr:row>
      <xdr:rowOff>44786</xdr:rowOff>
    </xdr:to>
    <xdr:sp macro="" textlink="">
      <xdr:nvSpPr>
        <xdr:cNvPr id="45" name="Oval 44">
          <a:extLst>
            <a:ext uri="{FF2B5EF4-FFF2-40B4-BE49-F238E27FC236}">
              <a16:creationId xmlns:a16="http://schemas.microsoft.com/office/drawing/2014/main" id="{3274DBB1-5757-BD9C-097A-6B7D6EEADD2D}"/>
            </a:ext>
          </a:extLst>
        </xdr:cNvPr>
        <xdr:cNvSpPr/>
      </xdr:nvSpPr>
      <xdr:spPr>
        <a:xfrm>
          <a:off x="13518398236" y="17085819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oneCellAnchor>
    <xdr:from>
      <xdr:col>4</xdr:col>
      <xdr:colOff>287910</xdr:colOff>
      <xdr:row>83</xdr:row>
      <xdr:rowOff>256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378624A-BB09-537D-74A6-2F430D5E34FA}"/>
                </a:ext>
              </a:extLst>
            </xdr:cNvPr>
            <xdr:cNvSpPr txBox="1"/>
          </xdr:nvSpPr>
          <xdr:spPr>
            <a:xfrm>
              <a:off x="13517973352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C378624A-BB09-537D-74A6-2F430D5E34FA}"/>
                </a:ext>
              </a:extLst>
            </xdr:cNvPr>
            <xdr:cNvSpPr txBox="1"/>
          </xdr:nvSpPr>
          <xdr:spPr>
            <a:xfrm>
              <a:off x="13517973352" y="17389979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</a:t>
              </a:r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4</xdr:col>
      <xdr:colOff>313502</xdr:colOff>
      <xdr:row>83</xdr:row>
      <xdr:rowOff>201793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2134D0E-325E-5C15-1169-65102EA7EDFD}"/>
                </a:ext>
              </a:extLst>
            </xdr:cNvPr>
            <xdr:cNvSpPr txBox="1"/>
          </xdr:nvSpPr>
          <xdr:spPr>
            <a:xfrm>
              <a:off x="13517947760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en-US" sz="1100" b="1" i="1">
                        <a:solidFill>
                          <a:srgbClr val="FF8AD8"/>
                        </a:solidFill>
                        <a:latin typeface="Cambria Math" panose="02040503050406030204" pitchFamily="18" charset="0"/>
                      </a:rPr>
                      <m:t>𝟓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2134D0E-325E-5C15-1169-65102EA7EDFD}"/>
                </a:ext>
              </a:extLst>
            </xdr:cNvPr>
            <xdr:cNvSpPr txBox="1"/>
          </xdr:nvSpPr>
          <xdr:spPr>
            <a:xfrm>
              <a:off x="13517947760" y="17591516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rgbClr val="FF8AD8"/>
                  </a:solidFill>
                  <a:latin typeface="Cambria Math" panose="02040503050406030204" pitchFamily="18" charset="0"/>
                </a:rPr>
                <a:t>𝟎.𝟓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3</xdr:col>
      <xdr:colOff>483049</xdr:colOff>
      <xdr:row>82</xdr:row>
      <xdr:rowOff>44786</xdr:rowOff>
    </xdr:from>
    <xdr:to>
      <xdr:col>4</xdr:col>
      <xdr:colOff>307104</xdr:colOff>
      <xdr:row>82</xdr:row>
      <xdr:rowOff>137557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Right Arrow 47">
              <a:extLst>
                <a:ext uri="{FF2B5EF4-FFF2-40B4-BE49-F238E27FC236}">
                  <a16:creationId xmlns:a16="http://schemas.microsoft.com/office/drawing/2014/main" id="{3A5E2773-463A-57DA-9186-5236E6B6FDF5}"/>
                </a:ext>
              </a:extLst>
            </xdr:cNvPr>
            <xdr:cNvSpPr/>
          </xdr:nvSpPr>
          <xdr:spPr>
            <a:xfrm>
              <a:off x="13518967657" y="17229773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Right Arrow 47">
              <a:extLst>
                <a:ext uri="{FF2B5EF4-FFF2-40B4-BE49-F238E27FC236}">
                  <a16:creationId xmlns:a16="http://schemas.microsoft.com/office/drawing/2014/main" id="{3A5E2773-463A-57DA-9186-5236E6B6FDF5}"/>
                </a:ext>
              </a:extLst>
            </xdr:cNvPr>
            <xdr:cNvSpPr/>
          </xdr:nvSpPr>
          <xdr:spPr>
            <a:xfrm>
              <a:off x="13518967657" y="17229773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3</xdr:col>
      <xdr:colOff>275114</xdr:colOff>
      <xdr:row>82</xdr:row>
      <xdr:rowOff>185798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BFD7211-BDB3-A9FE-23CE-3E739D170FD8}"/>
                </a:ext>
              </a:extLst>
            </xdr:cNvPr>
            <xdr:cNvSpPr txBox="1"/>
          </xdr:nvSpPr>
          <xdr:spPr>
            <a:xfrm>
              <a:off x="13518811488" y="17370785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9BFD7211-BDB3-A9FE-23CE-3E739D170FD8}"/>
                </a:ext>
              </a:extLst>
            </xdr:cNvPr>
            <xdr:cNvSpPr txBox="1"/>
          </xdr:nvSpPr>
          <xdr:spPr>
            <a:xfrm>
              <a:off x="13518811488" y="17370785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3</xdr:col>
      <xdr:colOff>294308</xdr:colOff>
      <xdr:row>83</xdr:row>
      <xdr:rowOff>182601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9772DDF8-AC5C-480F-03B0-878E114F0D41}"/>
                </a:ext>
              </a:extLst>
            </xdr:cNvPr>
            <xdr:cNvSpPr txBox="1"/>
          </xdr:nvSpPr>
          <xdr:spPr>
            <a:xfrm>
              <a:off x="13518792294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he-IL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𝟖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9772DDF8-AC5C-480F-03B0-878E114F0D41}"/>
                </a:ext>
              </a:extLst>
            </xdr:cNvPr>
            <xdr:cNvSpPr txBox="1"/>
          </xdr:nvSpPr>
          <xdr:spPr>
            <a:xfrm>
              <a:off x="13518792294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𝟎.</a:t>
              </a:r>
              <a:r>
                <a:rPr lang="he-IL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𝟖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3</xdr:col>
      <xdr:colOff>738968</xdr:colOff>
      <xdr:row>81</xdr:row>
      <xdr:rowOff>105568</xdr:rowOff>
    </xdr:from>
    <xdr:to>
      <xdr:col>4</xdr:col>
      <xdr:colOff>70379</xdr:colOff>
      <xdr:row>82</xdr:row>
      <xdr:rowOff>44787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2C021C1A-4407-520E-83A4-796997BB451B}"/>
            </a:ext>
          </a:extLst>
        </xdr:cNvPr>
        <xdr:cNvSpPr/>
      </xdr:nvSpPr>
      <xdr:spPr>
        <a:xfrm>
          <a:off x="13519204382" y="17085820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476650</xdr:colOff>
      <xdr:row>84</xdr:row>
      <xdr:rowOff>159949</xdr:rowOff>
    </xdr:from>
    <xdr:to>
      <xdr:col>5</xdr:col>
      <xdr:colOff>522369</xdr:colOff>
      <xdr:row>86</xdr:row>
      <xdr:rowOff>163148</xdr:rowOff>
    </xdr:to>
    <xdr:sp macro="" textlink="">
      <xdr:nvSpPr>
        <xdr:cNvPr id="52" name="Down Arrow 51">
          <a:extLst>
            <a:ext uri="{FF2B5EF4-FFF2-40B4-BE49-F238E27FC236}">
              <a16:creationId xmlns:a16="http://schemas.microsoft.com/office/drawing/2014/main" id="{CC2962CF-0E11-4818-6FCE-E73AA22400C0}"/>
            </a:ext>
          </a:extLst>
        </xdr:cNvPr>
        <xdr:cNvSpPr/>
      </xdr:nvSpPr>
      <xdr:spPr>
        <a:xfrm>
          <a:off x="13517927052" y="17754407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364685</xdr:colOff>
      <xdr:row>84</xdr:row>
      <xdr:rowOff>150352</xdr:rowOff>
    </xdr:from>
    <xdr:to>
      <xdr:col>4</xdr:col>
      <xdr:colOff>410404</xdr:colOff>
      <xdr:row>86</xdr:row>
      <xdr:rowOff>153551</xdr:rowOff>
    </xdr:to>
    <xdr:sp macro="" textlink="">
      <xdr:nvSpPr>
        <xdr:cNvPr id="53" name="Down Arrow 52">
          <a:extLst>
            <a:ext uri="{FF2B5EF4-FFF2-40B4-BE49-F238E27FC236}">
              <a16:creationId xmlns:a16="http://schemas.microsoft.com/office/drawing/2014/main" id="{40B8BF15-41D7-80DF-7E01-2DD563C89C65}"/>
            </a:ext>
          </a:extLst>
        </xdr:cNvPr>
        <xdr:cNvSpPr/>
      </xdr:nvSpPr>
      <xdr:spPr>
        <a:xfrm>
          <a:off x="13518864357" y="17744810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351889</xdr:colOff>
      <xdr:row>84</xdr:row>
      <xdr:rowOff>140755</xdr:rowOff>
    </xdr:from>
    <xdr:to>
      <xdr:col>3</xdr:col>
      <xdr:colOff>397608</xdr:colOff>
      <xdr:row>86</xdr:row>
      <xdr:rowOff>143954</xdr:rowOff>
    </xdr:to>
    <xdr:sp macro="" textlink="">
      <xdr:nvSpPr>
        <xdr:cNvPr id="54" name="Down Arrow 53">
          <a:extLst>
            <a:ext uri="{FF2B5EF4-FFF2-40B4-BE49-F238E27FC236}">
              <a16:creationId xmlns:a16="http://schemas.microsoft.com/office/drawing/2014/main" id="{A3175ADD-0637-F307-E29A-29B90C20D700}"/>
            </a:ext>
          </a:extLst>
        </xdr:cNvPr>
        <xdr:cNvSpPr/>
      </xdr:nvSpPr>
      <xdr:spPr>
        <a:xfrm>
          <a:off x="13519702493" y="17735213"/>
          <a:ext cx="45719" cy="412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431865</xdr:colOff>
      <xdr:row>82</xdr:row>
      <xdr:rowOff>51184</xdr:rowOff>
    </xdr:from>
    <xdr:to>
      <xdr:col>3</xdr:col>
      <xdr:colOff>127960</xdr:colOff>
      <xdr:row>82</xdr:row>
      <xdr:rowOff>143955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Right Arrow 54">
              <a:extLst>
                <a:ext uri="{FF2B5EF4-FFF2-40B4-BE49-F238E27FC236}">
                  <a16:creationId xmlns:a16="http://schemas.microsoft.com/office/drawing/2014/main" id="{D22F5820-D742-4B88-B7C0-5A73D394EEB0}"/>
                </a:ext>
              </a:extLst>
            </xdr:cNvPr>
            <xdr:cNvSpPr/>
          </xdr:nvSpPr>
          <xdr:spPr>
            <a:xfrm>
              <a:off x="13519972141" y="17236171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a:fld id="{825F15A7-03F4-43D7-82C5-3E23DA2F108C}" type="mathplaceholder">
                      <a:rPr lang="en-US" sz="1100" i="1">
                        <a:latin typeface="Cambria Math" panose="02040503050406030204" pitchFamily="18" charset="0"/>
                      </a:rPr>
                      <a:t>Type equation here.</a:t>
                    </a:fld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Right Arrow 54">
              <a:extLst>
                <a:ext uri="{FF2B5EF4-FFF2-40B4-BE49-F238E27FC236}">
                  <a16:creationId xmlns:a16="http://schemas.microsoft.com/office/drawing/2014/main" id="{D22F5820-D742-4B88-B7C0-5A73D394EEB0}"/>
                </a:ext>
              </a:extLst>
            </xdr:cNvPr>
            <xdr:cNvSpPr/>
          </xdr:nvSpPr>
          <xdr:spPr>
            <a:xfrm>
              <a:off x="13519972141" y="17236171"/>
              <a:ext cx="649395" cy="92771"/>
            </a:xfrm>
            <a:prstGeom prst="rightArrow">
              <a:avLst/>
            </a:prstGeom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</a:rPr>
                <a:t>"Type equation here."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2</xdr:col>
      <xdr:colOff>783755</xdr:colOff>
      <xdr:row>81</xdr:row>
      <xdr:rowOff>95971</xdr:rowOff>
    </xdr:from>
    <xdr:to>
      <xdr:col>2</xdr:col>
      <xdr:colOff>940506</xdr:colOff>
      <xdr:row>82</xdr:row>
      <xdr:rowOff>35190</xdr:rowOff>
    </xdr:to>
    <xdr:sp macro="" textlink="">
      <xdr:nvSpPr>
        <xdr:cNvPr id="57" name="Oval 56">
          <a:extLst>
            <a:ext uri="{FF2B5EF4-FFF2-40B4-BE49-F238E27FC236}">
              <a16:creationId xmlns:a16="http://schemas.microsoft.com/office/drawing/2014/main" id="{30E19F69-07E6-83FF-E141-E891E0F3EB56}"/>
            </a:ext>
          </a:extLst>
        </xdr:cNvPr>
        <xdr:cNvSpPr/>
      </xdr:nvSpPr>
      <xdr:spPr>
        <a:xfrm>
          <a:off x="13520112895" y="17076223"/>
          <a:ext cx="156751" cy="14395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oneCellAnchor>
    <xdr:from>
      <xdr:col>2</xdr:col>
      <xdr:colOff>316701</xdr:colOff>
      <xdr:row>82</xdr:row>
      <xdr:rowOff>192196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04ACF3-51BE-DA1D-A8DE-C06487A77748}"/>
                </a:ext>
              </a:extLst>
            </xdr:cNvPr>
            <xdr:cNvSpPr txBox="1"/>
          </xdr:nvSpPr>
          <xdr:spPr>
            <a:xfrm>
              <a:off x="13519723201" y="17377183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04ACF3-51BE-DA1D-A8DE-C06487A77748}"/>
                </a:ext>
              </a:extLst>
            </xdr:cNvPr>
            <xdr:cNvSpPr txBox="1"/>
          </xdr:nvSpPr>
          <xdr:spPr>
            <a:xfrm>
              <a:off x="13519723201" y="17377183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2</xdr:col>
      <xdr:colOff>309722</xdr:colOff>
      <xdr:row>83</xdr:row>
      <xdr:rowOff>182601</xdr:rowOff>
    </xdr:from>
    <xdr:ext cx="10134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C89C042-00E1-D04D-B28D-28C3EDD522B2}"/>
                </a:ext>
              </a:extLst>
            </xdr:cNvPr>
            <xdr:cNvSpPr txBox="1"/>
          </xdr:nvSpPr>
          <xdr:spPr>
            <a:xfrm>
              <a:off x="13519730180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𝟎</m:t>
                    </m:r>
                    <m:r>
                      <a:rPr lang="en-US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.</m:t>
                    </m:r>
                    <m:r>
                      <a:rPr lang="he-IL" sz="1100" b="1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𝟖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7C89C042-00E1-D04D-B28D-28C3EDD522B2}"/>
                </a:ext>
              </a:extLst>
            </xdr:cNvPr>
            <xdr:cNvSpPr txBox="1"/>
          </xdr:nvSpPr>
          <xdr:spPr>
            <a:xfrm>
              <a:off x="13519730180" y="17572324"/>
              <a:ext cx="10134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</a:t>
              </a:r>
              <a:r>
                <a:rPr lang="en-US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𝟎.</a:t>
              </a:r>
              <a:r>
                <a:rPr lang="he-IL" sz="1100" b="1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𝟖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782938</xdr:colOff>
      <xdr:row>97</xdr:row>
      <xdr:rowOff>104696</xdr:rowOff>
    </xdr:from>
    <xdr:to>
      <xdr:col>5</xdr:col>
      <xdr:colOff>191182</xdr:colOff>
      <xdr:row>99</xdr:row>
      <xdr:rowOff>113799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F0D908AE-26D3-7C41-A0C2-1B6CBA466688}"/>
            </a:ext>
          </a:extLst>
        </xdr:cNvPr>
        <xdr:cNvCxnSpPr/>
      </xdr:nvCxnSpPr>
      <xdr:spPr>
        <a:xfrm flipV="1">
          <a:off x="13509571862" y="12873718"/>
          <a:ext cx="233054" cy="4163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687347</xdr:colOff>
      <xdr:row>97</xdr:row>
      <xdr:rowOff>150215</xdr:rowOff>
    </xdr:from>
    <xdr:to>
      <xdr:col>4</xdr:col>
      <xdr:colOff>95591</xdr:colOff>
      <xdr:row>99</xdr:row>
      <xdr:rowOff>159318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DF32251A-6878-494D-B37E-DD1F8D9DB0EC}"/>
            </a:ext>
          </a:extLst>
        </xdr:cNvPr>
        <xdr:cNvCxnSpPr/>
      </xdr:nvCxnSpPr>
      <xdr:spPr>
        <a:xfrm flipV="1">
          <a:off x="13510492263" y="12919237"/>
          <a:ext cx="233053" cy="4163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855771</xdr:colOff>
      <xdr:row>97</xdr:row>
      <xdr:rowOff>71148</xdr:rowOff>
    </xdr:from>
    <xdr:to>
      <xdr:col>3</xdr:col>
      <xdr:colOff>172975</xdr:colOff>
      <xdr:row>99</xdr:row>
      <xdr:rowOff>103009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3F79A5A3-8795-334B-8818-5C9B25172DC4}"/>
            </a:ext>
          </a:extLst>
        </xdr:cNvPr>
        <xdr:cNvCxnSpPr/>
      </xdr:nvCxnSpPr>
      <xdr:spPr>
        <a:xfrm flipV="1">
          <a:off x="13511239688" y="12840170"/>
          <a:ext cx="269704" cy="4390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512097</xdr:colOff>
      <xdr:row>113</xdr:row>
      <xdr:rowOff>81935</xdr:rowOff>
    </xdr:from>
    <xdr:to>
      <xdr:col>7</xdr:col>
      <xdr:colOff>180258</xdr:colOff>
      <xdr:row>113</xdr:row>
      <xdr:rowOff>94225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2F072488-6452-B37D-1DD5-DA46825F773D}"/>
            </a:ext>
          </a:extLst>
        </xdr:cNvPr>
        <xdr:cNvCxnSpPr/>
      </xdr:nvCxnSpPr>
      <xdr:spPr>
        <a:xfrm>
          <a:off x="13552579677" y="23749000"/>
          <a:ext cx="3179097" cy="122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577645</xdr:colOff>
      <xdr:row>115</xdr:row>
      <xdr:rowOff>65548</xdr:rowOff>
    </xdr:from>
    <xdr:to>
      <xdr:col>6</xdr:col>
      <xdr:colOff>438355</xdr:colOff>
      <xdr:row>115</xdr:row>
      <xdr:rowOff>180258</xdr:rowOff>
    </xdr:to>
    <xdr:sp macro="" textlink="">
      <xdr:nvSpPr>
        <xdr:cNvPr id="69" name="Right Arrow 68">
          <a:extLst>
            <a:ext uri="{FF2B5EF4-FFF2-40B4-BE49-F238E27FC236}">
              <a16:creationId xmlns:a16="http://schemas.microsoft.com/office/drawing/2014/main" id="{D3F09047-81CA-EDC8-D9D7-C29AAE234A25}"/>
            </a:ext>
          </a:extLst>
        </xdr:cNvPr>
        <xdr:cNvSpPr/>
      </xdr:nvSpPr>
      <xdr:spPr>
        <a:xfrm>
          <a:off x="13553149129" y="24142290"/>
          <a:ext cx="889000" cy="11471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307258</xdr:colOff>
      <xdr:row>115</xdr:row>
      <xdr:rowOff>61451</xdr:rowOff>
    </xdr:from>
    <xdr:to>
      <xdr:col>5</xdr:col>
      <xdr:colOff>368710</xdr:colOff>
      <xdr:row>115</xdr:row>
      <xdr:rowOff>176161</xdr:rowOff>
    </xdr:to>
    <xdr:sp macro="" textlink="">
      <xdr:nvSpPr>
        <xdr:cNvPr id="70" name="Right Arrow 69">
          <a:extLst>
            <a:ext uri="{FF2B5EF4-FFF2-40B4-BE49-F238E27FC236}">
              <a16:creationId xmlns:a16="http://schemas.microsoft.com/office/drawing/2014/main" id="{C8D66595-4DC9-4BFC-35A5-A4A2562CE6F4}"/>
            </a:ext>
          </a:extLst>
        </xdr:cNvPr>
        <xdr:cNvSpPr/>
      </xdr:nvSpPr>
      <xdr:spPr>
        <a:xfrm>
          <a:off x="13554247064" y="24138193"/>
          <a:ext cx="889000" cy="11471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868516</xdr:colOff>
      <xdr:row>113</xdr:row>
      <xdr:rowOff>172064</xdr:rowOff>
    </xdr:from>
    <xdr:to>
      <xdr:col>6</xdr:col>
      <xdr:colOff>98323</xdr:colOff>
      <xdr:row>115</xdr:row>
      <xdr:rowOff>4097</xdr:rowOff>
    </xdr:to>
    <xdr:sp macro="" textlink="">
      <xdr:nvSpPr>
        <xdr:cNvPr id="71" name="Oval 70">
          <a:extLst>
            <a:ext uri="{FF2B5EF4-FFF2-40B4-BE49-F238E27FC236}">
              <a16:creationId xmlns:a16="http://schemas.microsoft.com/office/drawing/2014/main" id="{968C95E8-971B-B638-F89C-2DD1A74D9A54}"/>
            </a:ext>
          </a:extLst>
        </xdr:cNvPr>
        <xdr:cNvSpPr/>
      </xdr:nvSpPr>
      <xdr:spPr>
        <a:xfrm>
          <a:off x="13553489161" y="23839129"/>
          <a:ext cx="258097" cy="24171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667774</xdr:colOff>
      <xdr:row>113</xdr:row>
      <xdr:rowOff>155677</xdr:rowOff>
    </xdr:from>
    <xdr:to>
      <xdr:col>5</xdr:col>
      <xdr:colOff>98323</xdr:colOff>
      <xdr:row>114</xdr:row>
      <xdr:rowOff>192549</xdr:rowOff>
    </xdr:to>
    <xdr:sp macro="" textlink="">
      <xdr:nvSpPr>
        <xdr:cNvPr id="72" name="Oval 71">
          <a:extLst>
            <a:ext uri="{FF2B5EF4-FFF2-40B4-BE49-F238E27FC236}">
              <a16:creationId xmlns:a16="http://schemas.microsoft.com/office/drawing/2014/main" id="{CA14F43A-72D9-8F10-8601-8CCD98ED5378}"/>
            </a:ext>
          </a:extLst>
        </xdr:cNvPr>
        <xdr:cNvSpPr/>
      </xdr:nvSpPr>
      <xdr:spPr>
        <a:xfrm>
          <a:off x="13554517451" y="23822742"/>
          <a:ext cx="258097" cy="24171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163872</xdr:colOff>
      <xdr:row>117</xdr:row>
      <xdr:rowOff>65138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AD5E302A-1FF1-A67D-C2BF-6934A51F1CD4}"/>
                </a:ext>
              </a:extLst>
            </xdr:cNvPr>
            <xdr:cNvSpPr txBox="1"/>
          </xdr:nvSpPr>
          <xdr:spPr>
            <a:xfrm>
              <a:off x="13552977747" y="24551557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AD5E302A-1FF1-A67D-C2BF-6934A51F1CD4}"/>
                </a:ext>
              </a:extLst>
            </xdr:cNvPr>
            <xdr:cNvSpPr txBox="1"/>
          </xdr:nvSpPr>
          <xdr:spPr>
            <a:xfrm>
              <a:off x="13552977747" y="24551557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155678</xdr:colOff>
      <xdr:row>116</xdr:row>
      <xdr:rowOff>20073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500D3B30-7898-61D2-AFD4-54FE6BA2D3F1}"/>
                </a:ext>
              </a:extLst>
            </xdr:cNvPr>
            <xdr:cNvSpPr txBox="1"/>
          </xdr:nvSpPr>
          <xdr:spPr>
            <a:xfrm>
              <a:off x="13552985941" y="24301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500D3B30-7898-61D2-AFD4-54FE6BA2D3F1}"/>
                </a:ext>
              </a:extLst>
            </xdr:cNvPr>
            <xdr:cNvSpPr txBox="1"/>
          </xdr:nvSpPr>
          <xdr:spPr>
            <a:xfrm>
              <a:off x="13552985941" y="24301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811162</xdr:colOff>
      <xdr:row>116</xdr:row>
      <xdr:rowOff>7783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A51289CB-79F6-C08F-3C30-1F3540C3BE8F}"/>
                </a:ext>
              </a:extLst>
            </xdr:cNvPr>
            <xdr:cNvSpPr txBox="1"/>
          </xdr:nvSpPr>
          <xdr:spPr>
            <a:xfrm>
              <a:off x="13553985554" y="2428936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=−5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A51289CB-79F6-C08F-3C30-1F3540C3BE8F}"/>
                </a:ext>
              </a:extLst>
            </xdr:cNvPr>
            <xdr:cNvSpPr txBox="1"/>
          </xdr:nvSpPr>
          <xdr:spPr>
            <a:xfrm>
              <a:off x="13553985554" y="2428936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𝑃𝑀𝑇=−5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8194</xdr:colOff>
      <xdr:row>117</xdr:row>
      <xdr:rowOff>69235</xdr:rowOff>
    </xdr:from>
    <xdr:ext cx="147415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2ACE724E-76DD-3585-658F-AF0440D2D023}"/>
                </a:ext>
              </a:extLst>
            </xdr:cNvPr>
            <xdr:cNvSpPr txBox="1"/>
          </xdr:nvSpPr>
          <xdr:spPr>
            <a:xfrm>
              <a:off x="13553960973" y="24555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2ACE724E-76DD-3585-658F-AF0440D2D023}"/>
                </a:ext>
              </a:extLst>
            </xdr:cNvPr>
            <xdr:cNvSpPr txBox="1"/>
          </xdr:nvSpPr>
          <xdr:spPr>
            <a:xfrm>
              <a:off x="13553960973" y="24555654"/>
              <a:ext cx="147415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446548</xdr:colOff>
      <xdr:row>115</xdr:row>
      <xdr:rowOff>57355</xdr:rowOff>
    </xdr:from>
    <xdr:to>
      <xdr:col>5</xdr:col>
      <xdr:colOff>492267</xdr:colOff>
      <xdr:row>119</xdr:row>
      <xdr:rowOff>172064</xdr:rowOff>
    </xdr:to>
    <xdr:sp macro="" textlink="">
      <xdr:nvSpPr>
        <xdr:cNvPr id="77" name="Down Arrow 76">
          <a:extLst>
            <a:ext uri="{FF2B5EF4-FFF2-40B4-BE49-F238E27FC236}">
              <a16:creationId xmlns:a16="http://schemas.microsoft.com/office/drawing/2014/main" id="{D88C1505-2112-0037-1BF5-8337A02EC434}"/>
            </a:ext>
          </a:extLst>
        </xdr:cNvPr>
        <xdr:cNvSpPr/>
      </xdr:nvSpPr>
      <xdr:spPr>
        <a:xfrm>
          <a:off x="13554123507" y="24134097"/>
          <a:ext cx="45719" cy="934064"/>
        </a:xfrm>
        <a:prstGeom prst="downArrow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782938</xdr:colOff>
      <xdr:row>129</xdr:row>
      <xdr:rowOff>104696</xdr:rowOff>
    </xdr:from>
    <xdr:to>
      <xdr:col>5</xdr:col>
      <xdr:colOff>191182</xdr:colOff>
      <xdr:row>131</xdr:row>
      <xdr:rowOff>113799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89E29A19-930A-4345-AF21-2FA0E62E7CC5}"/>
            </a:ext>
          </a:extLst>
        </xdr:cNvPr>
        <xdr:cNvCxnSpPr/>
      </xdr:nvCxnSpPr>
      <xdr:spPr>
        <a:xfrm flipV="1">
          <a:off x="13554424592" y="20613148"/>
          <a:ext cx="235792" cy="4187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336325</xdr:colOff>
      <xdr:row>23</xdr:row>
      <xdr:rowOff>60237</xdr:rowOff>
    </xdr:from>
    <xdr:to>
      <xdr:col>3</xdr:col>
      <xdr:colOff>150593</xdr:colOff>
      <xdr:row>24</xdr:row>
      <xdr:rowOff>100396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A949956-5760-7E73-659B-41E9DB9A5C2F}"/>
            </a:ext>
          </a:extLst>
        </xdr:cNvPr>
        <xdr:cNvCxnSpPr/>
      </xdr:nvCxnSpPr>
      <xdr:spPr>
        <a:xfrm flipV="1">
          <a:off x="13485567787" y="4738656"/>
          <a:ext cx="768023" cy="2409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371463</xdr:colOff>
      <xdr:row>24</xdr:row>
      <xdr:rowOff>105416</xdr:rowOff>
    </xdr:from>
    <xdr:to>
      <xdr:col>3</xdr:col>
      <xdr:colOff>140554</xdr:colOff>
      <xdr:row>25</xdr:row>
      <xdr:rowOff>160632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58EE811-9F55-2554-6AC8-BB64BC635A71}"/>
            </a:ext>
          </a:extLst>
        </xdr:cNvPr>
        <xdr:cNvCxnSpPr/>
      </xdr:nvCxnSpPr>
      <xdr:spPr>
        <a:xfrm>
          <a:off x="13485577826" y="4984625"/>
          <a:ext cx="722846" cy="25600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519545</xdr:colOff>
      <xdr:row>76</xdr:row>
      <xdr:rowOff>178955</xdr:rowOff>
    </xdr:from>
    <xdr:to>
      <xdr:col>10</xdr:col>
      <xdr:colOff>173182</xdr:colOff>
      <xdr:row>78</xdr:row>
      <xdr:rowOff>121228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16841B1-22ED-7952-79EE-2C8620EFCE21}"/>
            </a:ext>
          </a:extLst>
        </xdr:cNvPr>
        <xdr:cNvCxnSpPr/>
      </xdr:nvCxnSpPr>
      <xdr:spPr>
        <a:xfrm flipV="1">
          <a:off x="13516563818" y="16163637"/>
          <a:ext cx="479137" cy="3463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508000</xdr:colOff>
      <xdr:row>76</xdr:row>
      <xdr:rowOff>173181</xdr:rowOff>
    </xdr:from>
    <xdr:to>
      <xdr:col>9</xdr:col>
      <xdr:colOff>161637</xdr:colOff>
      <xdr:row>78</xdr:row>
      <xdr:rowOff>115454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09DB337-90E1-E0DC-BE62-F49CA85BF1F0}"/>
            </a:ext>
          </a:extLst>
        </xdr:cNvPr>
        <xdr:cNvCxnSpPr/>
      </xdr:nvCxnSpPr>
      <xdr:spPr>
        <a:xfrm flipV="1">
          <a:off x="13517400863" y="16157863"/>
          <a:ext cx="479137" cy="3463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548409</xdr:colOff>
      <xdr:row>76</xdr:row>
      <xdr:rowOff>184727</xdr:rowOff>
    </xdr:from>
    <xdr:to>
      <xdr:col>8</xdr:col>
      <xdr:colOff>202046</xdr:colOff>
      <xdr:row>78</xdr:row>
      <xdr:rowOff>127000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0D026C27-1669-614C-CD52-3F323346D3E8}"/>
            </a:ext>
          </a:extLst>
        </xdr:cNvPr>
        <xdr:cNvCxnSpPr/>
      </xdr:nvCxnSpPr>
      <xdr:spPr>
        <a:xfrm flipV="1">
          <a:off x="13518185954" y="16169409"/>
          <a:ext cx="479137" cy="3463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488462</xdr:colOff>
      <xdr:row>110</xdr:row>
      <xdr:rowOff>4884</xdr:rowOff>
    </xdr:from>
    <xdr:to>
      <xdr:col>9</xdr:col>
      <xdr:colOff>493347</xdr:colOff>
      <xdr:row>111</xdr:row>
      <xdr:rowOff>48845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5E4BB6AB-1BAD-0731-07F2-35F05C790434}"/>
            </a:ext>
          </a:extLst>
        </xdr:cNvPr>
        <xdr:cNvCxnSpPr/>
      </xdr:nvCxnSpPr>
      <xdr:spPr>
        <a:xfrm>
          <a:off x="13517069153" y="23275192"/>
          <a:ext cx="4885" cy="2491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278424</xdr:colOff>
      <xdr:row>109</xdr:row>
      <xdr:rowOff>195385</xdr:rowOff>
    </xdr:from>
    <xdr:to>
      <xdr:col>9</xdr:col>
      <xdr:colOff>283309</xdr:colOff>
      <xdr:row>111</xdr:row>
      <xdr:rowOff>34192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5D6DC77-67A2-F658-33FB-CA226C0A9CA0}"/>
            </a:ext>
          </a:extLst>
        </xdr:cNvPr>
        <xdr:cNvCxnSpPr/>
      </xdr:nvCxnSpPr>
      <xdr:spPr>
        <a:xfrm>
          <a:off x="13517279191" y="23260539"/>
          <a:ext cx="4885" cy="2491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693616</xdr:colOff>
      <xdr:row>116</xdr:row>
      <xdr:rowOff>102577</xdr:rowOff>
    </xdr:from>
    <xdr:to>
      <xdr:col>1</xdr:col>
      <xdr:colOff>92808</xdr:colOff>
      <xdr:row>118</xdr:row>
      <xdr:rowOff>107462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6DBF38BD-59C4-540E-9CAE-426138A6D449}"/>
            </a:ext>
          </a:extLst>
        </xdr:cNvPr>
        <xdr:cNvCxnSpPr/>
      </xdr:nvCxnSpPr>
      <xdr:spPr>
        <a:xfrm flipV="1">
          <a:off x="13524405846" y="24603808"/>
          <a:ext cx="224692" cy="41519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136</xdr:row>
      <xdr:rowOff>4884</xdr:rowOff>
    </xdr:from>
    <xdr:to>
      <xdr:col>7</xdr:col>
      <xdr:colOff>678962</xdr:colOff>
      <xdr:row>144</xdr:row>
      <xdr:rowOff>89826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EDF15F8-B0DF-13E5-3779-4C0B84EE2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534538" y="28682461"/>
          <a:ext cx="6789616" cy="1726173"/>
        </a:xfrm>
        <a:prstGeom prst="rect">
          <a:avLst/>
        </a:prstGeom>
      </xdr:spPr>
    </xdr:pic>
    <xdr:clientData/>
  </xdr:twoCellAnchor>
  <xdr:twoCellAnchor editAs="oneCell">
    <xdr:from>
      <xdr:col>7</xdr:col>
      <xdr:colOff>473807</xdr:colOff>
      <xdr:row>139</xdr:row>
      <xdr:rowOff>115102</xdr:rowOff>
    </xdr:from>
    <xdr:to>
      <xdr:col>10</xdr:col>
      <xdr:colOff>445477</xdr:colOff>
      <xdr:row>148</xdr:row>
      <xdr:rowOff>156647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AFC0E77-8E98-F9D6-B832-3E9CC625C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6291523" y="29408140"/>
          <a:ext cx="2448170" cy="1887930"/>
        </a:xfrm>
        <a:prstGeom prst="rect">
          <a:avLst/>
        </a:prstGeom>
      </xdr:spPr>
    </xdr:pic>
    <xdr:clientData/>
  </xdr:twoCellAnchor>
  <xdr:twoCellAnchor>
    <xdr:from>
      <xdr:col>9</xdr:col>
      <xdr:colOff>595923</xdr:colOff>
      <xdr:row>137</xdr:row>
      <xdr:rowOff>131884</xdr:rowOff>
    </xdr:from>
    <xdr:to>
      <xdr:col>10</xdr:col>
      <xdr:colOff>166077</xdr:colOff>
      <xdr:row>140</xdr:row>
      <xdr:rowOff>14654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F4DAD020-FC50-7373-9D5E-FEF41B1CEBFD}"/>
            </a:ext>
          </a:extLst>
        </xdr:cNvPr>
        <xdr:cNvCxnSpPr/>
      </xdr:nvCxnSpPr>
      <xdr:spPr>
        <a:xfrm flipH="1">
          <a:off x="13516570923" y="29014615"/>
          <a:ext cx="395654" cy="4982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263769</xdr:colOff>
      <xdr:row>147</xdr:row>
      <xdr:rowOff>151423</xdr:rowOff>
    </xdr:from>
    <xdr:to>
      <xdr:col>9</xdr:col>
      <xdr:colOff>488462</xdr:colOff>
      <xdr:row>149</xdr:row>
      <xdr:rowOff>141654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125C4534-2480-21D2-1575-5BAC61B6E56B}"/>
            </a:ext>
          </a:extLst>
        </xdr:cNvPr>
        <xdr:cNvCxnSpPr/>
      </xdr:nvCxnSpPr>
      <xdr:spPr>
        <a:xfrm flipV="1">
          <a:off x="13517074038" y="31085692"/>
          <a:ext cx="224693" cy="4005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307732</xdr:colOff>
      <xdr:row>146</xdr:row>
      <xdr:rowOff>4885</xdr:rowOff>
    </xdr:from>
    <xdr:to>
      <xdr:col>7</xdr:col>
      <xdr:colOff>595923</xdr:colOff>
      <xdr:row>146</xdr:row>
      <xdr:rowOff>97693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7EFEC87D-0F5B-9D4A-E3F8-6209AFB902D1}"/>
            </a:ext>
          </a:extLst>
        </xdr:cNvPr>
        <xdr:cNvCxnSpPr/>
      </xdr:nvCxnSpPr>
      <xdr:spPr>
        <a:xfrm flipH="1" flipV="1">
          <a:off x="13518617577" y="30734000"/>
          <a:ext cx="288191" cy="928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583045</xdr:colOff>
      <xdr:row>157</xdr:row>
      <xdr:rowOff>132773</xdr:rowOff>
    </xdr:from>
    <xdr:to>
      <xdr:col>4</xdr:col>
      <xdr:colOff>75045</xdr:colOff>
      <xdr:row>159</xdr:row>
      <xdr:rowOff>80819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E8DC0340-37E4-075A-71FC-D9133F9466C6}"/>
            </a:ext>
          </a:extLst>
        </xdr:cNvPr>
        <xdr:cNvCxnSpPr/>
      </xdr:nvCxnSpPr>
      <xdr:spPr>
        <a:xfrm flipV="1">
          <a:off x="13521817000" y="32656318"/>
          <a:ext cx="317500" cy="3521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40409</xdr:colOff>
      <xdr:row>163</xdr:row>
      <xdr:rowOff>40412</xdr:rowOff>
    </xdr:from>
    <xdr:to>
      <xdr:col>6</xdr:col>
      <xdr:colOff>692727</xdr:colOff>
      <xdr:row>171</xdr:row>
      <xdr:rowOff>94888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16A89311-8FB8-13FC-B87E-A293D3E31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46273" y="33776230"/>
          <a:ext cx="5934363" cy="1670840"/>
        </a:xfrm>
        <a:prstGeom prst="rect">
          <a:avLst/>
        </a:prstGeom>
      </xdr:spPr>
    </xdr:pic>
    <xdr:clientData/>
  </xdr:twoCellAnchor>
  <xdr:twoCellAnchor>
    <xdr:from>
      <xdr:col>2</xdr:col>
      <xdr:colOff>813954</xdr:colOff>
      <xdr:row>178</xdr:row>
      <xdr:rowOff>103909</xdr:rowOff>
    </xdr:from>
    <xdr:to>
      <xdr:col>3</xdr:col>
      <xdr:colOff>103909</xdr:colOff>
      <xdr:row>180</xdr:row>
      <xdr:rowOff>115454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588974E6-67FA-503A-79FF-535506A0ABEB}"/>
            </a:ext>
          </a:extLst>
        </xdr:cNvPr>
        <xdr:cNvCxnSpPr/>
      </xdr:nvCxnSpPr>
      <xdr:spPr>
        <a:xfrm flipV="1">
          <a:off x="13522613636" y="36870409"/>
          <a:ext cx="242455" cy="41563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188</xdr:row>
      <xdr:rowOff>1</xdr:rowOff>
    </xdr:from>
    <xdr:ext cx="6391466" cy="1214489"/>
    <xdr:pic>
      <xdr:nvPicPr>
        <xdr:cNvPr id="2" name="Picture 1">
          <a:extLst>
            <a:ext uri="{FF2B5EF4-FFF2-40B4-BE49-F238E27FC236}">
              <a16:creationId xmlns:a16="http://schemas.microsoft.com/office/drawing/2014/main" id="{F48DACEB-F1E2-0C4B-B50B-EB8569B10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8600534" y="1219201"/>
          <a:ext cx="6391466" cy="1214489"/>
        </a:xfrm>
        <a:prstGeom prst="rect">
          <a:avLst/>
        </a:prstGeom>
      </xdr:spPr>
    </xdr:pic>
    <xdr:clientData/>
  </xdr:oneCellAnchor>
  <xdr:twoCellAnchor>
    <xdr:from>
      <xdr:col>4</xdr:col>
      <xdr:colOff>677066</xdr:colOff>
      <xdr:row>202</xdr:row>
      <xdr:rowOff>136215</xdr:rowOff>
    </xdr:from>
    <xdr:to>
      <xdr:col>5</xdr:col>
      <xdr:colOff>116184</xdr:colOff>
      <xdr:row>204</xdr:row>
      <xdr:rowOff>100157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07E4BA1D-DA90-6D42-B119-D8FFA4862206}"/>
            </a:ext>
          </a:extLst>
        </xdr:cNvPr>
        <xdr:cNvCxnSpPr/>
      </xdr:nvCxnSpPr>
      <xdr:spPr>
        <a:xfrm flipV="1">
          <a:off x="13520748316" y="4200215"/>
          <a:ext cx="264618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677066</xdr:colOff>
      <xdr:row>202</xdr:row>
      <xdr:rowOff>136215</xdr:rowOff>
    </xdr:from>
    <xdr:to>
      <xdr:col>4</xdr:col>
      <xdr:colOff>116184</xdr:colOff>
      <xdr:row>204</xdr:row>
      <xdr:rowOff>100157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604E057A-DD67-2B4F-B747-FFCEB9C8AAA5}"/>
            </a:ext>
          </a:extLst>
        </xdr:cNvPr>
        <xdr:cNvCxnSpPr/>
      </xdr:nvCxnSpPr>
      <xdr:spPr>
        <a:xfrm flipV="1">
          <a:off x="13521573816" y="4200215"/>
          <a:ext cx="264618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677066</xdr:colOff>
      <xdr:row>202</xdr:row>
      <xdr:rowOff>136215</xdr:rowOff>
    </xdr:from>
    <xdr:to>
      <xdr:col>3</xdr:col>
      <xdr:colOff>116184</xdr:colOff>
      <xdr:row>204</xdr:row>
      <xdr:rowOff>100157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D8822795-B59E-9A41-90D3-6A8A017D9F70}"/>
            </a:ext>
          </a:extLst>
        </xdr:cNvPr>
        <xdr:cNvCxnSpPr/>
      </xdr:nvCxnSpPr>
      <xdr:spPr>
        <a:xfrm flipV="1">
          <a:off x="13522399316" y="4200215"/>
          <a:ext cx="264618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793250</xdr:colOff>
      <xdr:row>198</xdr:row>
      <xdr:rowOff>104164</xdr:rowOff>
    </xdr:from>
    <xdr:to>
      <xdr:col>5</xdr:col>
      <xdr:colOff>777225</xdr:colOff>
      <xdr:row>199</xdr:row>
      <xdr:rowOff>112176</xdr:rowOff>
    </xdr:to>
    <xdr:sp macro="" textlink="">
      <xdr:nvSpPr>
        <xdr:cNvPr id="17" name="Left Brace 16">
          <a:extLst>
            <a:ext uri="{FF2B5EF4-FFF2-40B4-BE49-F238E27FC236}">
              <a16:creationId xmlns:a16="http://schemas.microsoft.com/office/drawing/2014/main" id="{12912970-1392-4246-B0C0-8B180896021F}"/>
            </a:ext>
          </a:extLst>
        </xdr:cNvPr>
        <xdr:cNvSpPr/>
      </xdr:nvSpPr>
      <xdr:spPr>
        <a:xfrm rot="5400000">
          <a:off x="13521211907" y="2230732"/>
          <a:ext cx="211212" cy="24604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280442</xdr:colOff>
      <xdr:row>198</xdr:row>
      <xdr:rowOff>112176</xdr:rowOff>
    </xdr:from>
    <xdr:to>
      <xdr:col>2</xdr:col>
      <xdr:colOff>380601</xdr:colOff>
      <xdr:row>199</xdr:row>
      <xdr:rowOff>60094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43225B6-D93A-A34D-9CA7-5A2D33EEEF9B}"/>
            </a:ext>
          </a:extLst>
        </xdr:cNvPr>
        <xdr:cNvCxnSpPr/>
      </xdr:nvCxnSpPr>
      <xdr:spPr>
        <a:xfrm flipV="1">
          <a:off x="13522960399" y="3363376"/>
          <a:ext cx="100159" cy="1511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624984</xdr:colOff>
      <xdr:row>223</xdr:row>
      <xdr:rowOff>136215</xdr:rowOff>
    </xdr:from>
    <xdr:to>
      <xdr:col>5</xdr:col>
      <xdr:colOff>64102</xdr:colOff>
      <xdr:row>225</xdr:row>
      <xdr:rowOff>100157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B97E9381-A788-004D-B366-AC4B14B83502}"/>
            </a:ext>
          </a:extLst>
        </xdr:cNvPr>
        <xdr:cNvCxnSpPr/>
      </xdr:nvCxnSpPr>
      <xdr:spPr>
        <a:xfrm flipV="1">
          <a:off x="13520800398" y="7857815"/>
          <a:ext cx="264618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392619</xdr:colOff>
      <xdr:row>226</xdr:row>
      <xdr:rowOff>4006</xdr:rowOff>
    </xdr:from>
    <xdr:to>
      <xdr:col>4</xdr:col>
      <xdr:colOff>400632</xdr:colOff>
      <xdr:row>228</xdr:row>
      <xdr:rowOff>20032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371764D-398F-3C4A-B817-B05E8430523E}"/>
            </a:ext>
          </a:extLst>
        </xdr:cNvPr>
        <xdr:cNvCxnSpPr/>
      </xdr:nvCxnSpPr>
      <xdr:spPr>
        <a:xfrm>
          <a:off x="13521289368" y="8335206"/>
          <a:ext cx="8013" cy="422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223</xdr:row>
      <xdr:rowOff>168265</xdr:rowOff>
    </xdr:from>
    <xdr:to>
      <xdr:col>4</xdr:col>
      <xdr:colOff>136215</xdr:colOff>
      <xdr:row>225</xdr:row>
      <xdr:rowOff>132207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AFE2086A-FDC2-E841-88B8-33D65C554498}"/>
            </a:ext>
          </a:extLst>
        </xdr:cNvPr>
        <xdr:cNvCxnSpPr/>
      </xdr:nvCxnSpPr>
      <xdr:spPr>
        <a:xfrm flipV="1">
          <a:off x="13521553785" y="7889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697098</xdr:colOff>
      <xdr:row>223</xdr:row>
      <xdr:rowOff>168265</xdr:rowOff>
    </xdr:from>
    <xdr:to>
      <xdr:col>3</xdr:col>
      <xdr:colOff>136215</xdr:colOff>
      <xdr:row>225</xdr:row>
      <xdr:rowOff>132207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CFA04AAA-CAB1-AA4B-9581-13FE9F76ED2F}"/>
            </a:ext>
          </a:extLst>
        </xdr:cNvPr>
        <xdr:cNvCxnSpPr/>
      </xdr:nvCxnSpPr>
      <xdr:spPr>
        <a:xfrm flipV="1">
          <a:off x="13522379285" y="7889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697098</xdr:colOff>
      <xdr:row>223</xdr:row>
      <xdr:rowOff>168265</xdr:rowOff>
    </xdr:from>
    <xdr:to>
      <xdr:col>2</xdr:col>
      <xdr:colOff>136215</xdr:colOff>
      <xdr:row>225</xdr:row>
      <xdr:rowOff>132207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23340640-DC3A-9F4F-9789-74BB6C686552}"/>
            </a:ext>
          </a:extLst>
        </xdr:cNvPr>
        <xdr:cNvCxnSpPr/>
      </xdr:nvCxnSpPr>
      <xdr:spPr>
        <a:xfrm flipV="1">
          <a:off x="13523204785" y="7889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396625</xdr:colOff>
      <xdr:row>226</xdr:row>
      <xdr:rowOff>28044</xdr:rowOff>
    </xdr:from>
    <xdr:to>
      <xdr:col>1</xdr:col>
      <xdr:colOff>404638</xdr:colOff>
      <xdr:row>228</xdr:row>
      <xdr:rowOff>44070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54E7843D-13BC-314D-BF03-104FDC41A947}"/>
            </a:ext>
          </a:extLst>
        </xdr:cNvPr>
        <xdr:cNvCxnSpPr/>
      </xdr:nvCxnSpPr>
      <xdr:spPr>
        <a:xfrm>
          <a:off x="13523761862" y="8359244"/>
          <a:ext cx="8013" cy="422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239085</xdr:colOff>
      <xdr:row>209</xdr:row>
      <xdr:rowOff>102179</xdr:rowOff>
    </xdr:from>
    <xdr:ext cx="5861577" cy="1536705"/>
    <xdr:pic>
      <xdr:nvPicPr>
        <xdr:cNvPr id="84" name="Picture 83">
          <a:extLst>
            <a:ext uri="{FF2B5EF4-FFF2-40B4-BE49-F238E27FC236}">
              <a16:creationId xmlns:a16="http://schemas.microsoft.com/office/drawing/2014/main" id="{2AEFA349-DB21-9F42-964C-7D10A4F5B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220383" y="43184043"/>
          <a:ext cx="5861577" cy="1536705"/>
        </a:xfrm>
        <a:prstGeom prst="rect">
          <a:avLst/>
        </a:prstGeom>
      </xdr:spPr>
    </xdr:pic>
    <xdr:clientData/>
  </xdr:oneCellAnchor>
  <xdr:oneCellAnchor>
    <xdr:from>
      <xdr:col>0</xdr:col>
      <xdr:colOff>45017</xdr:colOff>
      <xdr:row>235</xdr:row>
      <xdr:rowOff>151894</xdr:rowOff>
    </xdr:from>
    <xdr:ext cx="6379446" cy="913242"/>
    <xdr:pic>
      <xdr:nvPicPr>
        <xdr:cNvPr id="85" name="Picture 84">
          <a:extLst>
            <a:ext uri="{FF2B5EF4-FFF2-40B4-BE49-F238E27FC236}">
              <a16:creationId xmlns:a16="http://schemas.microsoft.com/office/drawing/2014/main" id="{89DF3031-3F93-454C-A2C3-F554B57E1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18896582" y="48486939"/>
          <a:ext cx="6379446" cy="913242"/>
        </a:xfrm>
        <a:prstGeom prst="rect">
          <a:avLst/>
        </a:prstGeom>
      </xdr:spPr>
    </xdr:pic>
    <xdr:clientData/>
  </xdr:oneCellAnchor>
  <xdr:twoCellAnchor>
    <xdr:from>
      <xdr:col>4</xdr:col>
      <xdr:colOff>697098</xdr:colOff>
      <xdr:row>246</xdr:row>
      <xdr:rowOff>168265</xdr:rowOff>
    </xdr:from>
    <xdr:to>
      <xdr:col>5</xdr:col>
      <xdr:colOff>136215</xdr:colOff>
      <xdr:row>248</xdr:row>
      <xdr:rowOff>132207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96098793-10C2-8D4D-B1B7-3ACF5114D71D}"/>
            </a:ext>
          </a:extLst>
        </xdr:cNvPr>
        <xdr:cNvCxnSpPr/>
      </xdr:nvCxnSpPr>
      <xdr:spPr>
        <a:xfrm flipV="1">
          <a:off x="13520728285" y="125634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517021</xdr:colOff>
      <xdr:row>246</xdr:row>
      <xdr:rowOff>104099</xdr:rowOff>
    </xdr:from>
    <xdr:to>
      <xdr:col>4</xdr:col>
      <xdr:colOff>70286</xdr:colOff>
      <xdr:row>246</xdr:row>
      <xdr:rowOff>104448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AE62C2F3-AFD1-1740-A902-45C9AC1C9450}"/>
            </a:ext>
          </a:extLst>
        </xdr:cNvPr>
        <xdr:cNvCxnSpPr/>
      </xdr:nvCxnSpPr>
      <xdr:spPr>
        <a:xfrm flipV="1">
          <a:off x="13521619714" y="12499299"/>
          <a:ext cx="378765" cy="3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257</xdr:row>
      <xdr:rowOff>163088</xdr:rowOff>
    </xdr:from>
    <xdr:ext cx="6163663" cy="1326551"/>
    <xdr:pic>
      <xdr:nvPicPr>
        <xdr:cNvPr id="91" name="Picture 90">
          <a:extLst>
            <a:ext uri="{FF2B5EF4-FFF2-40B4-BE49-F238E27FC236}">
              <a16:creationId xmlns:a16="http://schemas.microsoft.com/office/drawing/2014/main" id="{B51E699E-C945-5D4F-BF16-9D4563DB6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18828337" y="14793488"/>
          <a:ext cx="6163663" cy="1326551"/>
        </a:xfrm>
        <a:prstGeom prst="rect">
          <a:avLst/>
        </a:prstGeom>
      </xdr:spPr>
    </xdr:pic>
    <xdr:clientData/>
  </xdr:oneCellAnchor>
  <xdr:twoCellAnchor>
    <xdr:from>
      <xdr:col>0</xdr:col>
      <xdr:colOff>79808</xdr:colOff>
      <xdr:row>269</xdr:row>
      <xdr:rowOff>104098</xdr:rowOff>
    </xdr:from>
    <xdr:to>
      <xdr:col>7</xdr:col>
      <xdr:colOff>805027</xdr:colOff>
      <xdr:row>269</xdr:row>
      <xdr:rowOff>117978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D3343E0D-809E-CB48-844B-9B3996EBC1AA}"/>
            </a:ext>
          </a:extLst>
        </xdr:cNvPr>
        <xdr:cNvCxnSpPr/>
      </xdr:nvCxnSpPr>
      <xdr:spPr>
        <a:xfrm>
          <a:off x="13518408473" y="17172898"/>
          <a:ext cx="6503719" cy="138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414658</xdr:colOff>
      <xdr:row>267</xdr:row>
      <xdr:rowOff>15617</xdr:rowOff>
    </xdr:from>
    <xdr:to>
      <xdr:col>5</xdr:col>
      <xdr:colOff>435478</xdr:colOff>
      <xdr:row>268</xdr:row>
      <xdr:rowOff>36436</xdr:rowOff>
    </xdr:to>
    <xdr:sp macro="" textlink="">
      <xdr:nvSpPr>
        <xdr:cNvPr id="93" name="Left Brace 92">
          <a:extLst>
            <a:ext uri="{FF2B5EF4-FFF2-40B4-BE49-F238E27FC236}">
              <a16:creationId xmlns:a16="http://schemas.microsoft.com/office/drawing/2014/main" id="{6AE54B78-E170-8745-90C0-A2AD4535AD94}"/>
            </a:ext>
          </a:extLst>
        </xdr:cNvPr>
        <xdr:cNvSpPr/>
      </xdr:nvSpPr>
      <xdr:spPr>
        <a:xfrm rot="5400000">
          <a:off x="13520740172" y="16366867"/>
          <a:ext cx="224019" cy="8463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423333</xdr:colOff>
      <xdr:row>267</xdr:row>
      <xdr:rowOff>15618</xdr:rowOff>
    </xdr:from>
    <xdr:to>
      <xdr:col>4</xdr:col>
      <xdr:colOff>359138</xdr:colOff>
      <xdr:row>268</xdr:row>
      <xdr:rowOff>31233</xdr:rowOff>
    </xdr:to>
    <xdr:sp macro="" textlink="">
      <xdr:nvSpPr>
        <xdr:cNvPr id="94" name="Left Brace 93">
          <a:extLst>
            <a:ext uri="{FF2B5EF4-FFF2-40B4-BE49-F238E27FC236}">
              <a16:creationId xmlns:a16="http://schemas.microsoft.com/office/drawing/2014/main" id="{6C14E419-DAA1-BD4C-B225-A88757D3E505}"/>
            </a:ext>
          </a:extLst>
        </xdr:cNvPr>
        <xdr:cNvSpPr/>
      </xdr:nvSpPr>
      <xdr:spPr>
        <a:xfrm rot="5400000">
          <a:off x="13521602107" y="16406773"/>
          <a:ext cx="218815" cy="7613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440682</xdr:colOff>
      <xdr:row>267</xdr:row>
      <xdr:rowOff>26027</xdr:rowOff>
    </xdr:from>
    <xdr:to>
      <xdr:col>3</xdr:col>
      <xdr:colOff>376487</xdr:colOff>
      <xdr:row>268</xdr:row>
      <xdr:rowOff>41642</xdr:rowOff>
    </xdr:to>
    <xdr:sp macro="" textlink="">
      <xdr:nvSpPr>
        <xdr:cNvPr id="95" name="Left Brace 94">
          <a:extLst>
            <a:ext uri="{FF2B5EF4-FFF2-40B4-BE49-F238E27FC236}">
              <a16:creationId xmlns:a16="http://schemas.microsoft.com/office/drawing/2014/main" id="{E3136117-6AFB-FF4E-8556-A0787706BB42}"/>
            </a:ext>
          </a:extLst>
        </xdr:cNvPr>
        <xdr:cNvSpPr/>
      </xdr:nvSpPr>
      <xdr:spPr>
        <a:xfrm rot="5400000">
          <a:off x="13522410258" y="16417182"/>
          <a:ext cx="218815" cy="7613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399044</xdr:colOff>
      <xdr:row>267</xdr:row>
      <xdr:rowOff>57257</xdr:rowOff>
    </xdr:from>
    <xdr:to>
      <xdr:col>2</xdr:col>
      <xdr:colOff>303619</xdr:colOff>
      <xdr:row>268</xdr:row>
      <xdr:rowOff>38170</xdr:rowOff>
    </xdr:to>
    <xdr:sp macro="" textlink="">
      <xdr:nvSpPr>
        <xdr:cNvPr id="96" name="Left Brace 95">
          <a:extLst>
            <a:ext uri="{FF2B5EF4-FFF2-40B4-BE49-F238E27FC236}">
              <a16:creationId xmlns:a16="http://schemas.microsoft.com/office/drawing/2014/main" id="{4523A7DD-75B1-8040-BF24-05699C7453F5}"/>
            </a:ext>
          </a:extLst>
        </xdr:cNvPr>
        <xdr:cNvSpPr/>
      </xdr:nvSpPr>
      <xdr:spPr>
        <a:xfrm rot="5400000">
          <a:off x="13523723112" y="16033926"/>
          <a:ext cx="184113" cy="15555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697098</xdr:colOff>
      <xdr:row>278</xdr:row>
      <xdr:rowOff>168265</xdr:rowOff>
    </xdr:from>
    <xdr:to>
      <xdr:col>5</xdr:col>
      <xdr:colOff>136215</xdr:colOff>
      <xdr:row>280</xdr:row>
      <xdr:rowOff>132207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BEBF3EFA-DBA4-FE45-8269-8EC0956B3B65}"/>
            </a:ext>
          </a:extLst>
        </xdr:cNvPr>
        <xdr:cNvCxnSpPr/>
      </xdr:nvCxnSpPr>
      <xdr:spPr>
        <a:xfrm flipV="1">
          <a:off x="13520728285" y="19065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278</xdr:row>
      <xdr:rowOff>168265</xdr:rowOff>
    </xdr:from>
    <xdr:to>
      <xdr:col>4</xdr:col>
      <xdr:colOff>136215</xdr:colOff>
      <xdr:row>280</xdr:row>
      <xdr:rowOff>132207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EBB78548-C543-C34C-8AFE-B18E9E8B36C9}"/>
            </a:ext>
          </a:extLst>
        </xdr:cNvPr>
        <xdr:cNvCxnSpPr/>
      </xdr:nvCxnSpPr>
      <xdr:spPr>
        <a:xfrm flipV="1">
          <a:off x="13521553785" y="19065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697098</xdr:colOff>
      <xdr:row>278</xdr:row>
      <xdr:rowOff>168265</xdr:rowOff>
    </xdr:from>
    <xdr:to>
      <xdr:col>3</xdr:col>
      <xdr:colOff>136215</xdr:colOff>
      <xdr:row>280</xdr:row>
      <xdr:rowOff>132207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AFAB9177-B3F2-AF42-B017-C4C7AFB4ECDD}"/>
            </a:ext>
          </a:extLst>
        </xdr:cNvPr>
        <xdr:cNvCxnSpPr/>
      </xdr:nvCxnSpPr>
      <xdr:spPr>
        <a:xfrm flipV="1">
          <a:off x="13522379285" y="19065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520428</xdr:colOff>
      <xdr:row>267</xdr:row>
      <xdr:rowOff>35038</xdr:rowOff>
    </xdr:from>
    <xdr:to>
      <xdr:col>7</xdr:col>
      <xdr:colOff>318965</xdr:colOff>
      <xdr:row>268</xdr:row>
      <xdr:rowOff>38840</xdr:rowOff>
    </xdr:to>
    <xdr:sp macro="" textlink="">
      <xdr:nvSpPr>
        <xdr:cNvPr id="100" name="Left Brace 99">
          <a:extLst>
            <a:ext uri="{FF2B5EF4-FFF2-40B4-BE49-F238E27FC236}">
              <a16:creationId xmlns:a16="http://schemas.microsoft.com/office/drawing/2014/main" id="{054364A1-99B8-2E48-945D-2A99EFF2D0B5}"/>
            </a:ext>
          </a:extLst>
        </xdr:cNvPr>
        <xdr:cNvSpPr/>
      </xdr:nvSpPr>
      <xdr:spPr>
        <a:xfrm rot="5400000">
          <a:off x="13519515803" y="16076170"/>
          <a:ext cx="207002" cy="144953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697098</xdr:colOff>
      <xdr:row>278</xdr:row>
      <xdr:rowOff>168265</xdr:rowOff>
    </xdr:from>
    <xdr:to>
      <xdr:col>2</xdr:col>
      <xdr:colOff>136215</xdr:colOff>
      <xdr:row>280</xdr:row>
      <xdr:rowOff>132207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F6569AF5-C8F2-874D-978E-D3414DA4A05A}"/>
            </a:ext>
          </a:extLst>
        </xdr:cNvPr>
        <xdr:cNvCxnSpPr/>
      </xdr:nvCxnSpPr>
      <xdr:spPr>
        <a:xfrm flipV="1">
          <a:off x="13523204785" y="190658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284</xdr:row>
      <xdr:rowOff>0</xdr:rowOff>
    </xdr:from>
    <xdr:ext cx="6260090" cy="1235471"/>
    <xdr:pic>
      <xdr:nvPicPr>
        <xdr:cNvPr id="102" name="Picture 101">
          <a:extLst>
            <a:ext uri="{FF2B5EF4-FFF2-40B4-BE49-F238E27FC236}">
              <a16:creationId xmlns:a16="http://schemas.microsoft.com/office/drawing/2014/main" id="{C7E7A4A1-FB5C-4E4C-8AA0-8467AC6AC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18731910" y="20116800"/>
          <a:ext cx="6260090" cy="1235471"/>
        </a:xfrm>
        <a:prstGeom prst="rect">
          <a:avLst/>
        </a:prstGeom>
      </xdr:spPr>
    </xdr:pic>
    <xdr:clientData/>
  </xdr:oneCellAnchor>
  <xdr:twoCellAnchor>
    <xdr:from>
      <xdr:col>4</xdr:col>
      <xdr:colOff>697098</xdr:colOff>
      <xdr:row>296</xdr:row>
      <xdr:rowOff>168265</xdr:rowOff>
    </xdr:from>
    <xdr:to>
      <xdr:col>5</xdr:col>
      <xdr:colOff>136215</xdr:colOff>
      <xdr:row>298</xdr:row>
      <xdr:rowOff>132207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6BA9C33B-0AEC-A14B-B8D9-2825A9126BAE}"/>
            </a:ext>
          </a:extLst>
        </xdr:cNvPr>
        <xdr:cNvCxnSpPr/>
      </xdr:nvCxnSpPr>
      <xdr:spPr>
        <a:xfrm flipV="1">
          <a:off x="13520728285" y="227234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296</xdr:row>
      <xdr:rowOff>168265</xdr:rowOff>
    </xdr:from>
    <xdr:to>
      <xdr:col>4</xdr:col>
      <xdr:colOff>136215</xdr:colOff>
      <xdr:row>298</xdr:row>
      <xdr:rowOff>132207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6CD05AB2-14DD-6343-B2BE-1B596F2AAA7B}"/>
            </a:ext>
          </a:extLst>
        </xdr:cNvPr>
        <xdr:cNvCxnSpPr/>
      </xdr:nvCxnSpPr>
      <xdr:spPr>
        <a:xfrm flipV="1">
          <a:off x="13521553785" y="227234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697098</xdr:colOff>
      <xdr:row>296</xdr:row>
      <xdr:rowOff>168265</xdr:rowOff>
    </xdr:from>
    <xdr:to>
      <xdr:col>4</xdr:col>
      <xdr:colOff>136215</xdr:colOff>
      <xdr:row>298</xdr:row>
      <xdr:rowOff>132207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AD139C45-DAC3-C34B-A9EF-FEB70246ECD3}"/>
            </a:ext>
          </a:extLst>
        </xdr:cNvPr>
        <xdr:cNvCxnSpPr/>
      </xdr:nvCxnSpPr>
      <xdr:spPr>
        <a:xfrm flipV="1">
          <a:off x="13521553785" y="22723465"/>
          <a:ext cx="264617" cy="3703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300</xdr:row>
      <xdr:rowOff>132049</xdr:rowOff>
    </xdr:from>
    <xdr:ext cx="7756671" cy="989741"/>
    <xdr:pic>
      <xdr:nvPicPr>
        <xdr:cNvPr id="106" name="Picture 105">
          <a:extLst>
            <a:ext uri="{FF2B5EF4-FFF2-40B4-BE49-F238E27FC236}">
              <a16:creationId xmlns:a16="http://schemas.microsoft.com/office/drawing/2014/main" id="{2A3B5D3D-2A21-B340-9965-24F2B635D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17235329" y="23500049"/>
          <a:ext cx="7756671" cy="989741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260432</xdr:colOff>
      <xdr:row>189</xdr:row>
      <xdr:rowOff>86167</xdr:rowOff>
    </xdr:from>
    <xdr:ext cx="3252154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D5C6E5D7-96EC-6188-EBED-E38E6F4D1957}"/>
                </a:ext>
              </a:extLst>
            </xdr:cNvPr>
            <xdr:cNvSpPr txBox="1"/>
          </xdr:nvSpPr>
          <xdr:spPr>
            <a:xfrm>
              <a:off x="13532234225" y="20393306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%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𝐼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𝐴𝑁𝑁𝑈𝐴𝐿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D5C6E5D7-96EC-6188-EBED-E38E6F4D1957}"/>
                </a:ext>
              </a:extLst>
            </xdr:cNvPr>
            <xdr:cNvSpPr txBox="1"/>
          </xdr:nvSpPr>
          <xdr:spPr>
            <a:xfrm>
              <a:off x="13532234225" y="20393306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%𝐼</a:t>
              </a:r>
              <a:r>
                <a:rPr lang="en-US" sz="1100" b="0" i="0">
                  <a:latin typeface="Cambria Math" panose="02040503050406030204" pitchFamily="18" charset="0"/>
                </a:rPr>
                <a:t>(𝑀𝑜𝑛𝑡ℎ)=(1+𝑟_𝐴𝑁𝑁𝑈𝐴𝐿 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385021</xdr:colOff>
      <xdr:row>190</xdr:row>
      <xdr:rowOff>132039</xdr:rowOff>
    </xdr:from>
    <xdr:ext cx="3252154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1123237-99B8-3D53-F683-94F053CD7422}"/>
                </a:ext>
              </a:extLst>
            </xdr:cNvPr>
            <xdr:cNvSpPr txBox="1"/>
          </xdr:nvSpPr>
          <xdr:spPr>
            <a:xfrm>
              <a:off x="13530760041" y="20596357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%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𝐼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1+6%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1123237-99B8-3D53-F683-94F053CD7422}"/>
                </a:ext>
              </a:extLst>
            </xdr:cNvPr>
            <xdr:cNvSpPr txBox="1"/>
          </xdr:nvSpPr>
          <xdr:spPr>
            <a:xfrm>
              <a:off x="13530760041" y="20596357"/>
              <a:ext cx="325215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%𝐼</a:t>
              </a:r>
              <a:r>
                <a:rPr lang="en-US" sz="1100" b="0" i="0">
                  <a:latin typeface="Cambria Math" panose="02040503050406030204" pitchFamily="18" charset="0"/>
                </a:rPr>
                <a:t>(𝑀𝑜𝑛𝑡ℎ)=(1+6%)^(1/12)−1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722820</xdr:colOff>
      <xdr:row>215</xdr:row>
      <xdr:rowOff>201442</xdr:rowOff>
    </xdr:from>
    <xdr:ext cx="2404699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AAF05CB-F822-A102-6B11-E27F70C0CC63}"/>
                </a:ext>
              </a:extLst>
            </xdr:cNvPr>
            <xdr:cNvSpPr txBox="1"/>
          </xdr:nvSpPr>
          <xdr:spPr>
            <a:xfrm>
              <a:off x="13497320380" y="25817612"/>
              <a:ext cx="2404699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h𝑎𝑧𝑖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𝑠h𝑎𝑛𝑎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AAF05CB-F822-A102-6B11-E27F70C0CC63}"/>
                </a:ext>
              </a:extLst>
            </xdr:cNvPr>
            <xdr:cNvSpPr txBox="1"/>
          </xdr:nvSpPr>
          <xdr:spPr>
            <a:xfrm>
              <a:off x="13497320380" y="25817612"/>
              <a:ext cx="2404699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𝐼%(ℎ𝑎𝑧𝑖 𝑠ℎ𝑎𝑛𝑎)=(1+𝑟_𝑎𝑛𝑛𝑢𝑎𝑙 )^(1/2)−1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37154</xdr:colOff>
      <xdr:row>217</xdr:row>
      <xdr:rowOff>144022</xdr:rowOff>
    </xdr:from>
    <xdr:ext cx="3816561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379B275-43C7-A041-E140-51F2111C3BED}"/>
                </a:ext>
              </a:extLst>
            </xdr:cNvPr>
            <xdr:cNvSpPr txBox="1"/>
          </xdr:nvSpPr>
          <xdr:spPr>
            <a:xfrm>
              <a:off x="13496594184" y="26165511"/>
              <a:ext cx="3816561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h𝑎𝑧𝑖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𝑠h𝑎𝑛𝑎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1+10.25%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−1=0.05=5%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C379B275-43C7-A041-E140-51F2111C3BED}"/>
                </a:ext>
              </a:extLst>
            </xdr:cNvPr>
            <xdr:cNvSpPr txBox="1"/>
          </xdr:nvSpPr>
          <xdr:spPr>
            <a:xfrm>
              <a:off x="13496594184" y="26165511"/>
              <a:ext cx="3816561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𝐼%(ℎ𝑎𝑧𝑖 𝑠ℎ𝑎𝑛𝑎)=(1+10.25%)^(1/2)−1=0.05=5%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130829</xdr:colOff>
      <xdr:row>232</xdr:row>
      <xdr:rowOff>198540</xdr:rowOff>
    </xdr:from>
    <xdr:ext cx="21410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4E12838-7B41-98C4-0799-3F2092E08415}"/>
                </a:ext>
              </a:extLst>
            </xdr:cNvPr>
            <xdr:cNvSpPr txBox="1"/>
          </xdr:nvSpPr>
          <xdr:spPr>
            <a:xfrm>
              <a:off x="13533445543" y="29478741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0.25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4E12838-7B41-98C4-0799-3F2092E08415}"/>
                </a:ext>
              </a:extLst>
            </xdr:cNvPr>
            <xdr:cNvSpPr txBox="1"/>
          </xdr:nvSpPr>
          <xdr:spPr>
            <a:xfrm>
              <a:off x="13533445543" y="29478741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רבעון)=(1+</a:t>
              </a:r>
              <a:r>
                <a:rPr lang="en-US" sz="1100" b="0" i="0">
                  <a:latin typeface="Cambria Math" panose="02040503050406030204" pitchFamily="18" charset="0"/>
                </a:rPr>
                <a:t>𝑟_𝑎𝑛𝑛𝑢𝑎𝑙 )^0.25−1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376533</xdr:colOff>
      <xdr:row>238</xdr:row>
      <xdr:rowOff>6381</xdr:rowOff>
    </xdr:from>
    <xdr:to>
      <xdr:col>3</xdr:col>
      <xdr:colOff>424397</xdr:colOff>
      <xdr:row>238</xdr:row>
      <xdr:rowOff>175502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9CCECD0A-A74F-64F1-942D-C23000D1BA34}"/>
            </a:ext>
          </a:extLst>
        </xdr:cNvPr>
        <xdr:cNvSpPr/>
      </xdr:nvSpPr>
      <xdr:spPr>
        <a:xfrm>
          <a:off x="13537836231" y="30307688"/>
          <a:ext cx="47864" cy="1691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86156</xdr:colOff>
      <xdr:row>234</xdr:row>
      <xdr:rowOff>16656</xdr:rowOff>
    </xdr:from>
    <xdr:ext cx="21410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4D2D713C-1C65-C29A-745A-844F939F5E21}"/>
                </a:ext>
              </a:extLst>
            </xdr:cNvPr>
            <xdr:cNvSpPr txBox="1"/>
          </xdr:nvSpPr>
          <xdr:spPr>
            <a:xfrm>
              <a:off x="13532663759" y="29705299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1+4%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0.25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4D2D713C-1C65-C29A-745A-844F939F5E21}"/>
                </a:ext>
              </a:extLst>
            </xdr:cNvPr>
            <xdr:cNvSpPr txBox="1"/>
          </xdr:nvSpPr>
          <xdr:spPr>
            <a:xfrm>
              <a:off x="13532663759" y="29705299"/>
              <a:ext cx="21410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רבעון)=(1+4%</a:t>
              </a:r>
              <a:r>
                <a:rPr lang="en-US" sz="1100" b="0" i="0">
                  <a:latin typeface="Cambria Math" panose="02040503050406030204" pitchFamily="18" charset="0"/>
                </a:rPr>
                <a:t>)^0.25−1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871131</xdr:colOff>
      <xdr:row>232</xdr:row>
      <xdr:rowOff>143593</xdr:rowOff>
    </xdr:from>
    <xdr:to>
      <xdr:col>6</xdr:col>
      <xdr:colOff>3191</xdr:colOff>
      <xdr:row>237</xdr:row>
      <xdr:rowOff>146783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D59A054E-73BD-7152-E2D7-C3AA5722420E}"/>
            </a:ext>
          </a:extLst>
        </xdr:cNvPr>
        <xdr:cNvCxnSpPr/>
      </xdr:nvCxnSpPr>
      <xdr:spPr>
        <a:xfrm flipV="1">
          <a:off x="13535714246" y="29423794"/>
          <a:ext cx="848794" cy="10242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813693</xdr:colOff>
      <xdr:row>247</xdr:row>
      <xdr:rowOff>82965</xdr:rowOff>
    </xdr:from>
    <xdr:ext cx="2141065" cy="2585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89B51797-BB2C-094A-A1D9-E5F4E4ADF1D0}"/>
                </a:ext>
              </a:extLst>
            </xdr:cNvPr>
            <xdr:cNvSpPr txBox="1"/>
          </xdr:nvSpPr>
          <xdr:spPr>
            <a:xfrm>
              <a:off x="13533589136" y="32426483"/>
              <a:ext cx="2141065" cy="2585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חודש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89B51797-BB2C-094A-A1D9-E5F4E4ADF1D0}"/>
                </a:ext>
              </a:extLst>
            </xdr:cNvPr>
            <xdr:cNvSpPr txBox="1"/>
          </xdr:nvSpPr>
          <xdr:spPr>
            <a:xfrm>
              <a:off x="13533589136" y="32426483"/>
              <a:ext cx="2141065" cy="2585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𝐼%(</a:t>
              </a:r>
              <a:r>
                <a:rPr lang="he-IL" sz="1100" b="0" i="0">
                  <a:latin typeface="Cambria Math" panose="02040503050406030204" pitchFamily="18" charset="0"/>
                </a:rPr>
                <a:t>חודש)=(1+</a:t>
              </a:r>
              <a:r>
                <a:rPr lang="en-US" sz="1100" b="0" i="0">
                  <a:latin typeface="Cambria Math" panose="02040503050406030204" pitchFamily="18" charset="0"/>
                </a:rPr>
                <a:t>𝑟_𝑎𝑛𝑛𝑢𝑎𝑙 )^(</a:t>
              </a:r>
              <a:r>
                <a:rPr lang="he-IL" sz="1100" b="0" i="0">
                  <a:latin typeface="Cambria Math" panose="02040503050406030204" pitchFamily="18" charset="0"/>
                </a:rPr>
                <a:t>1/12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348197</xdr:colOff>
      <xdr:row>252</xdr:row>
      <xdr:rowOff>6381</xdr:rowOff>
    </xdr:from>
    <xdr:to>
      <xdr:col>3</xdr:col>
      <xdr:colOff>444500</xdr:colOff>
      <xdr:row>252</xdr:row>
      <xdr:rowOff>175502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22E72783-A62C-9506-4B2F-7557018D5123}"/>
            </a:ext>
          </a:extLst>
        </xdr:cNvPr>
        <xdr:cNvSpPr/>
      </xdr:nvSpPr>
      <xdr:spPr>
        <a:xfrm flipH="1">
          <a:off x="13522134500" y="33204181"/>
          <a:ext cx="96303" cy="16912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831850</xdr:colOff>
      <xdr:row>248</xdr:row>
      <xdr:rowOff>184565</xdr:rowOff>
    </xdr:from>
    <xdr:ext cx="3933825" cy="21159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6316E76-5C12-0E1B-1249-4154F88C3DB3}"/>
                </a:ext>
              </a:extLst>
            </xdr:cNvPr>
            <xdr:cNvSpPr txBox="1"/>
          </xdr:nvSpPr>
          <xdr:spPr>
            <a:xfrm>
              <a:off x="13516987825" y="32569565"/>
              <a:ext cx="3933825" cy="2115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</m:t>
                    </m:r>
                    <m:d>
                      <m:d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900" b="0" i="1">
                            <a:latin typeface="Cambria Math" panose="02040503050406030204" pitchFamily="18" charset="0"/>
                          </a:rPr>
                          <m:t>חודש</m:t>
                        </m:r>
                      </m:e>
                    </m:d>
                    <m:r>
                      <a:rPr lang="he-IL" sz="9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=0.00999999=0.01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66316E76-5C12-0E1B-1249-4154F88C3DB3}"/>
                </a:ext>
              </a:extLst>
            </xdr:cNvPr>
            <xdr:cNvSpPr txBox="1"/>
          </xdr:nvSpPr>
          <xdr:spPr>
            <a:xfrm>
              <a:off x="13516987825" y="32569565"/>
              <a:ext cx="3933825" cy="21159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𝐼%(</a:t>
              </a:r>
              <a:r>
                <a:rPr lang="he-IL" sz="900" b="0" i="0">
                  <a:latin typeface="Cambria Math" panose="02040503050406030204" pitchFamily="18" charset="0"/>
                </a:rPr>
                <a:t>חודש)=(1+12.6825%</a:t>
              </a:r>
              <a:r>
                <a:rPr lang="en-US" sz="900" b="0" i="0">
                  <a:latin typeface="Cambria Math" panose="02040503050406030204" pitchFamily="18" charset="0"/>
                </a:rPr>
                <a:t>)^(</a:t>
              </a:r>
              <a:r>
                <a:rPr lang="he-IL" sz="900" b="0" i="0">
                  <a:latin typeface="Cambria Math" panose="02040503050406030204" pitchFamily="18" charset="0"/>
                </a:rPr>
                <a:t>1/12</a:t>
              </a:r>
              <a:r>
                <a:rPr lang="en-US" sz="900" b="0" i="0">
                  <a:latin typeface="Cambria Math" panose="02040503050406030204" pitchFamily="18" charset="0"/>
                </a:rPr>
                <a:t>)−1</a:t>
              </a:r>
              <a:r>
                <a:rPr lang="he-IL" sz="900" b="0" i="0">
                  <a:latin typeface="Cambria Math" panose="02040503050406030204" pitchFamily="18" charset="0"/>
                </a:rPr>
                <a:t>=0.00999999=0.01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815975</xdr:colOff>
      <xdr:row>250</xdr:row>
      <xdr:rowOff>57565</xdr:rowOff>
    </xdr:from>
    <xdr:ext cx="3933825" cy="14215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23D181B6-F337-B54E-4E8F-4E57F0211AA3}"/>
                </a:ext>
              </a:extLst>
            </xdr:cNvPr>
            <xdr:cNvSpPr txBox="1"/>
          </xdr:nvSpPr>
          <xdr:spPr>
            <a:xfrm>
              <a:off x="13517003700" y="32848965"/>
              <a:ext cx="3933825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900" b="0" i="1">
                        <a:latin typeface="Cambria Math" panose="02040503050406030204" pitchFamily="18" charset="0"/>
                      </a:rPr>
                      <m:t>0.01∗100=1%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23D181B6-F337-B54E-4E8F-4E57F0211AA3}"/>
                </a:ext>
              </a:extLst>
            </xdr:cNvPr>
            <xdr:cNvSpPr txBox="1"/>
          </xdr:nvSpPr>
          <xdr:spPr>
            <a:xfrm>
              <a:off x="13517003700" y="32848965"/>
              <a:ext cx="3933825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900" b="0" i="0">
                  <a:latin typeface="Cambria Math" panose="02040503050406030204" pitchFamily="18" charset="0"/>
                </a:rPr>
                <a:t>0.01∗100=1%</a:t>
              </a:r>
              <a:endParaRPr lang="en-US" sz="900"/>
            </a:p>
          </xdr:txBody>
        </xdr:sp>
      </mc:Fallback>
    </mc:AlternateContent>
    <xdr:clientData/>
  </xdr:oneCellAnchor>
  <xdr:twoCellAnchor editAs="oneCell">
    <xdr:from>
      <xdr:col>4</xdr:col>
      <xdr:colOff>879474</xdr:colOff>
      <xdr:row>347</xdr:row>
      <xdr:rowOff>31243</xdr:rowOff>
    </xdr:from>
    <xdr:to>
      <xdr:col>7</xdr:col>
      <xdr:colOff>454024</xdr:colOff>
      <xdr:row>358</xdr:row>
      <xdr:rowOff>123826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E3350CE-59C2-9FE7-3B6F-ABC5D4A90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759476" y="34651443"/>
          <a:ext cx="2114550" cy="2327782"/>
        </a:xfrm>
        <a:prstGeom prst="rect">
          <a:avLst/>
        </a:prstGeom>
      </xdr:spPr>
    </xdr:pic>
    <xdr:clientData/>
  </xdr:twoCellAnchor>
  <xdr:oneCellAnchor>
    <xdr:from>
      <xdr:col>0</xdr:col>
      <xdr:colOff>478692</xdr:colOff>
      <xdr:row>280</xdr:row>
      <xdr:rowOff>187569</xdr:rowOff>
    </xdr:from>
    <xdr:ext cx="2214174" cy="333489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6D1CF68-36C2-CCC8-587C-2C8100B89B4B}"/>
                </a:ext>
              </a:extLst>
            </xdr:cNvPr>
            <xdr:cNvSpPr txBox="1"/>
          </xdr:nvSpPr>
          <xdr:spPr>
            <a:xfrm>
              <a:off x="13522362634" y="57728338"/>
              <a:ext cx="2214174" cy="3334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[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רצוי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מצוי</m:t>
                            </m:r>
                          </m:den>
                        </m:f>
                      </m:sup>
                    </m:sSup>
                    <m:r>
                      <a:rPr lang="he-IL" sz="1100" b="0" i="0">
                        <a:latin typeface="Cambria Math" panose="02040503050406030204" pitchFamily="18" charset="0"/>
                      </a:rPr>
                      <m:t>−1]∗100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6D1CF68-36C2-CCC8-587C-2C8100B89B4B}"/>
                </a:ext>
              </a:extLst>
            </xdr:cNvPr>
            <xdr:cNvSpPr txBox="1"/>
          </xdr:nvSpPr>
          <xdr:spPr>
            <a:xfrm>
              <a:off x="13522362634" y="57728338"/>
              <a:ext cx="2214174" cy="33348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latin typeface="Cambria Math" panose="02040503050406030204" pitchFamily="18" charset="0"/>
                </a:rPr>
                <a:t>[(1+</a:t>
              </a:r>
              <a:r>
                <a:rPr lang="en-US" sz="1100" b="0" i="0">
                  <a:latin typeface="Cambria Math" panose="02040503050406030204" pitchFamily="18" charset="0"/>
                </a:rPr>
                <a:t>𝑟)〗^(</a:t>
              </a:r>
              <a:r>
                <a:rPr lang="he-IL" sz="1100" b="0" i="0">
                  <a:latin typeface="Cambria Math" panose="02040503050406030204" pitchFamily="18" charset="0"/>
                </a:rPr>
                <a:t>רצוי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מצוי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−1]∗100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615461</xdr:colOff>
      <xdr:row>286</xdr:row>
      <xdr:rowOff>89877</xdr:rowOff>
    </xdr:from>
    <xdr:ext cx="2214174" cy="253403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67FA40F-2018-0297-9FF2-12042D74B102}"/>
                </a:ext>
              </a:extLst>
            </xdr:cNvPr>
            <xdr:cNvSpPr txBox="1"/>
          </xdr:nvSpPr>
          <xdr:spPr>
            <a:xfrm>
              <a:off x="13522225865" y="58861569"/>
              <a:ext cx="221417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[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1+6%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he-IL" sz="1100" b="0" i="0">
                        <a:latin typeface="Cambria Math" panose="02040503050406030204" pitchFamily="18" charset="0"/>
                      </a:rPr>
                      <m:t>−1]∗100=0.486755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67FA40F-2018-0297-9FF2-12042D74B102}"/>
                </a:ext>
              </a:extLst>
            </xdr:cNvPr>
            <xdr:cNvSpPr txBox="1"/>
          </xdr:nvSpPr>
          <xdr:spPr>
            <a:xfrm>
              <a:off x="13522225865" y="58861569"/>
              <a:ext cx="2214174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latin typeface="Cambria Math" panose="02040503050406030204" pitchFamily="18" charset="0"/>
                </a:rPr>
                <a:t>[(1+6%</a:t>
              </a:r>
              <a:r>
                <a:rPr lang="en-US" sz="1100" b="0" i="0">
                  <a:latin typeface="Cambria Math" panose="02040503050406030204" pitchFamily="18" charset="0"/>
                </a:rPr>
                <a:t>)〗^(</a:t>
              </a:r>
              <a:r>
                <a:rPr lang="he-IL" sz="1100" b="0" i="0">
                  <a:latin typeface="Cambria Math" panose="02040503050406030204" pitchFamily="18" charset="0"/>
                </a:rPr>
                <a:t>1/12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−1]∗100=0.486755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317500</xdr:colOff>
      <xdr:row>281</xdr:row>
      <xdr:rowOff>122116</xdr:rowOff>
    </xdr:from>
    <xdr:to>
      <xdr:col>4</xdr:col>
      <xdr:colOff>840154</xdr:colOff>
      <xdr:row>281</xdr:row>
      <xdr:rowOff>127000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C32DD485-B5B0-70F5-7561-27199FF6D174}"/>
            </a:ext>
          </a:extLst>
        </xdr:cNvPr>
        <xdr:cNvCxnSpPr/>
      </xdr:nvCxnSpPr>
      <xdr:spPr>
        <a:xfrm>
          <a:off x="13520913346" y="57877808"/>
          <a:ext cx="522654" cy="488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317500</xdr:colOff>
      <xdr:row>281</xdr:row>
      <xdr:rowOff>136770</xdr:rowOff>
    </xdr:from>
    <xdr:to>
      <xdr:col>4</xdr:col>
      <xdr:colOff>341923</xdr:colOff>
      <xdr:row>286</xdr:row>
      <xdr:rowOff>122115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BA1BB78E-4232-FA5B-F47B-0DF723E9F22D}"/>
            </a:ext>
          </a:extLst>
        </xdr:cNvPr>
        <xdr:cNvCxnSpPr/>
      </xdr:nvCxnSpPr>
      <xdr:spPr>
        <a:xfrm>
          <a:off x="13521411577" y="57892462"/>
          <a:ext cx="24423" cy="101111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307731</xdr:colOff>
      <xdr:row>286</xdr:row>
      <xdr:rowOff>102577</xdr:rowOff>
    </xdr:from>
    <xdr:to>
      <xdr:col>4</xdr:col>
      <xdr:colOff>830385</xdr:colOff>
      <xdr:row>286</xdr:row>
      <xdr:rowOff>107461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4956A3A-1804-0FBA-E1A6-24EBF83A8381}"/>
            </a:ext>
          </a:extLst>
        </xdr:cNvPr>
        <xdr:cNvCxnSpPr/>
      </xdr:nvCxnSpPr>
      <xdr:spPr>
        <a:xfrm>
          <a:off x="13520923115" y="58884039"/>
          <a:ext cx="522654" cy="4884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</xdr:colOff>
      <xdr:row>297</xdr:row>
      <xdr:rowOff>107787</xdr:rowOff>
    </xdr:from>
    <xdr:to>
      <xdr:col>7</xdr:col>
      <xdr:colOff>412400</xdr:colOff>
      <xdr:row>297</xdr:row>
      <xdr:rowOff>117160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19FD3D7E-830F-EDBF-A8D3-D77A25763FD1}"/>
            </a:ext>
          </a:extLst>
        </xdr:cNvPr>
        <xdr:cNvCxnSpPr/>
      </xdr:nvCxnSpPr>
      <xdr:spPr>
        <a:xfrm flipV="1">
          <a:off x="13507288855" y="60125831"/>
          <a:ext cx="5454908" cy="93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299925</xdr:colOff>
      <xdr:row>297</xdr:row>
      <xdr:rowOff>74981</xdr:rowOff>
    </xdr:from>
    <xdr:to>
      <xdr:col>3</xdr:col>
      <xdr:colOff>421770</xdr:colOff>
      <xdr:row>298</xdr:row>
      <xdr:rowOff>121844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C5360883-B06A-21B5-E4A6-280ED91C06CE}"/>
            </a:ext>
          </a:extLst>
        </xdr:cNvPr>
        <xdr:cNvSpPr/>
      </xdr:nvSpPr>
      <xdr:spPr>
        <a:xfrm rot="16200000">
          <a:off x="13511433932" y="59331493"/>
          <a:ext cx="248376" cy="1771439"/>
        </a:xfrm>
        <a:prstGeom prst="leftBrac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323358</xdr:colOff>
      <xdr:row>303</xdr:row>
      <xdr:rowOff>23432</xdr:rowOff>
    </xdr:from>
    <xdr:to>
      <xdr:col>2</xdr:col>
      <xdr:colOff>323358</xdr:colOff>
      <xdr:row>304</xdr:row>
      <xdr:rowOff>154649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1FE80405-2718-8143-B99D-0EA69AFBDC99}"/>
            </a:ext>
          </a:extLst>
        </xdr:cNvPr>
        <xdr:cNvCxnSpPr/>
      </xdr:nvCxnSpPr>
      <xdr:spPr>
        <a:xfrm>
          <a:off x="13511595609" y="61250554"/>
          <a:ext cx="0" cy="33273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318672</xdr:colOff>
      <xdr:row>304</xdr:row>
      <xdr:rowOff>135904</xdr:rowOff>
    </xdr:from>
    <xdr:to>
      <xdr:col>4</xdr:col>
      <xdr:colOff>328045</xdr:colOff>
      <xdr:row>304</xdr:row>
      <xdr:rowOff>145276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1BD21722-52A0-8413-3BC7-65FF423E676C}"/>
            </a:ext>
          </a:extLst>
        </xdr:cNvPr>
        <xdr:cNvCxnSpPr/>
      </xdr:nvCxnSpPr>
      <xdr:spPr>
        <a:xfrm flipH="1" flipV="1">
          <a:off x="13509913210" y="61564539"/>
          <a:ext cx="1687085" cy="9372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304613</xdr:colOff>
      <xdr:row>298</xdr:row>
      <xdr:rowOff>131218</xdr:rowOff>
    </xdr:from>
    <xdr:to>
      <xdr:col>4</xdr:col>
      <xdr:colOff>313986</xdr:colOff>
      <xdr:row>304</xdr:row>
      <xdr:rowOff>135903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B3683083-5F48-FCF9-64D5-76814C4AE8DF}"/>
            </a:ext>
          </a:extLst>
        </xdr:cNvPr>
        <xdr:cNvCxnSpPr/>
      </xdr:nvCxnSpPr>
      <xdr:spPr>
        <a:xfrm flipH="1">
          <a:off x="13509927269" y="60350775"/>
          <a:ext cx="9373" cy="121376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496753</xdr:colOff>
      <xdr:row>303</xdr:row>
      <xdr:rowOff>70296</xdr:rowOff>
    </xdr:from>
    <xdr:to>
      <xdr:col>4</xdr:col>
      <xdr:colOff>496753</xdr:colOff>
      <xdr:row>305</xdr:row>
      <xdr:rowOff>0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41C9FD4-8679-8754-C412-E05B208E2415}"/>
            </a:ext>
          </a:extLst>
        </xdr:cNvPr>
        <xdr:cNvCxnSpPr/>
      </xdr:nvCxnSpPr>
      <xdr:spPr>
        <a:xfrm>
          <a:off x="13509744502" y="61297418"/>
          <a:ext cx="0" cy="33273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492067</xdr:colOff>
      <xdr:row>304</xdr:row>
      <xdr:rowOff>182768</xdr:rowOff>
    </xdr:from>
    <xdr:to>
      <xdr:col>6</xdr:col>
      <xdr:colOff>463949</xdr:colOff>
      <xdr:row>304</xdr:row>
      <xdr:rowOff>192140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78FF9F7D-E393-CFD4-BF5C-711BE9360150}"/>
            </a:ext>
          </a:extLst>
        </xdr:cNvPr>
        <xdr:cNvCxnSpPr/>
      </xdr:nvCxnSpPr>
      <xdr:spPr>
        <a:xfrm flipH="1" flipV="1">
          <a:off x="13508062103" y="61611403"/>
          <a:ext cx="1687085" cy="9372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440517</xdr:colOff>
      <xdr:row>298</xdr:row>
      <xdr:rowOff>178082</xdr:rowOff>
    </xdr:from>
    <xdr:to>
      <xdr:col>6</xdr:col>
      <xdr:colOff>449890</xdr:colOff>
      <xdr:row>304</xdr:row>
      <xdr:rowOff>182767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02C26D6E-6712-AB4C-BD49-5C43C11535F1}"/>
            </a:ext>
          </a:extLst>
        </xdr:cNvPr>
        <xdr:cNvCxnSpPr/>
      </xdr:nvCxnSpPr>
      <xdr:spPr>
        <a:xfrm flipH="1">
          <a:off x="13508076162" y="60397639"/>
          <a:ext cx="9373" cy="121376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658091</xdr:colOff>
      <xdr:row>317</xdr:row>
      <xdr:rowOff>132772</xdr:rowOff>
    </xdr:from>
    <xdr:to>
      <xdr:col>4</xdr:col>
      <xdr:colOff>69273</xdr:colOff>
      <xdr:row>319</xdr:row>
      <xdr:rowOff>69273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79671F0-4B85-BF5C-18E5-7A2865663911}"/>
            </a:ext>
          </a:extLst>
        </xdr:cNvPr>
        <xdr:cNvCxnSpPr/>
      </xdr:nvCxnSpPr>
      <xdr:spPr>
        <a:xfrm>
          <a:off x="13521684227" y="64319727"/>
          <a:ext cx="259773" cy="3405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625592</xdr:colOff>
      <xdr:row>336</xdr:row>
      <xdr:rowOff>174037</xdr:rowOff>
    </xdr:from>
    <xdr:to>
      <xdr:col>1</xdr:col>
      <xdr:colOff>42333</xdr:colOff>
      <xdr:row>338</xdr:row>
      <xdr:rowOff>75259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6A5A049-A00C-AF8B-E1E9-4861159EE203}"/>
            </a:ext>
          </a:extLst>
        </xdr:cNvPr>
        <xdr:cNvCxnSpPr/>
      </xdr:nvCxnSpPr>
      <xdr:spPr>
        <a:xfrm>
          <a:off x="13562739222" y="68537667"/>
          <a:ext cx="244593" cy="305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625592</xdr:colOff>
      <xdr:row>336</xdr:row>
      <xdr:rowOff>174037</xdr:rowOff>
    </xdr:from>
    <xdr:to>
      <xdr:col>6</xdr:col>
      <xdr:colOff>42333</xdr:colOff>
      <xdr:row>338</xdr:row>
      <xdr:rowOff>75259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4C284EC4-5A4F-2A41-8755-B474A61A42FC}"/>
            </a:ext>
          </a:extLst>
        </xdr:cNvPr>
        <xdr:cNvCxnSpPr/>
      </xdr:nvCxnSpPr>
      <xdr:spPr>
        <a:xfrm>
          <a:off x="13562739222" y="68537667"/>
          <a:ext cx="244593" cy="305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540496</xdr:colOff>
      <xdr:row>25</xdr:row>
      <xdr:rowOff>79581</xdr:rowOff>
    </xdr:from>
    <xdr:to>
      <xdr:col>7</xdr:col>
      <xdr:colOff>195639</xdr:colOff>
      <xdr:row>25</xdr:row>
      <xdr:rowOff>86213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F2E4FB89-9DF3-9889-A7BF-1C685F682A31}"/>
            </a:ext>
          </a:extLst>
        </xdr:cNvPr>
        <xdr:cNvCxnSpPr/>
      </xdr:nvCxnSpPr>
      <xdr:spPr>
        <a:xfrm>
          <a:off x="13521733107" y="5136370"/>
          <a:ext cx="5434804" cy="66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195639</xdr:colOff>
      <xdr:row>21</xdr:row>
      <xdr:rowOff>93186</xdr:rowOff>
    </xdr:from>
    <xdr:to>
      <xdr:col>6</xdr:col>
      <xdr:colOff>607942</xdr:colOff>
      <xdr:row>23</xdr:row>
      <xdr:rowOff>176675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E0837E-2A7A-0E3C-3DF4-1B27563E4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2146470" y="4340888"/>
          <a:ext cx="412303" cy="488032"/>
        </a:xfrm>
        <a:prstGeom prst="rect">
          <a:avLst/>
        </a:prstGeom>
      </xdr:spPr>
    </xdr:pic>
    <xdr:clientData/>
  </xdr:twoCellAnchor>
  <xdr:twoCellAnchor>
    <xdr:from>
      <xdr:col>6</xdr:col>
      <xdr:colOff>802454</xdr:colOff>
      <xdr:row>20</xdr:row>
      <xdr:rowOff>39791</xdr:rowOff>
    </xdr:from>
    <xdr:to>
      <xdr:col>8</xdr:col>
      <xdr:colOff>679765</xdr:colOff>
      <xdr:row>23</xdr:row>
      <xdr:rowOff>162481</xdr:rowOff>
    </xdr:to>
    <xdr:sp macro="" textlink="">
      <xdr:nvSpPr>
        <xdr:cNvPr id="5" name="Cloud Callout 4">
          <a:extLst>
            <a:ext uri="{FF2B5EF4-FFF2-40B4-BE49-F238E27FC236}">
              <a16:creationId xmlns:a16="http://schemas.microsoft.com/office/drawing/2014/main" id="{74FC6756-904B-FEFB-61F2-745132EAB365}"/>
            </a:ext>
          </a:extLst>
        </xdr:cNvPr>
        <xdr:cNvSpPr/>
      </xdr:nvSpPr>
      <xdr:spPr>
        <a:xfrm>
          <a:off x="13520423316" y="4085222"/>
          <a:ext cx="1528642" cy="729504"/>
        </a:xfrm>
        <a:prstGeom prst="cloudCallout">
          <a:avLst>
            <a:gd name="adj1" fmla="val 54872"/>
            <a:gd name="adj2" fmla="val 241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כמה שווה לי היום?</a:t>
          </a:r>
          <a:endParaRPr lang="en-US" sz="1100"/>
        </a:p>
      </xdr:txBody>
    </xdr:sp>
    <xdr:clientData/>
  </xdr:twoCellAnchor>
  <xdr:twoCellAnchor>
    <xdr:from>
      <xdr:col>1</xdr:col>
      <xdr:colOff>396416</xdr:colOff>
      <xdr:row>28</xdr:row>
      <xdr:rowOff>23858</xdr:rowOff>
    </xdr:from>
    <xdr:to>
      <xdr:col>5</xdr:col>
      <xdr:colOff>398251</xdr:colOff>
      <xdr:row>28</xdr:row>
      <xdr:rowOff>198208</xdr:rowOff>
    </xdr:to>
    <xdr:sp macro="" textlink="">
      <xdr:nvSpPr>
        <xdr:cNvPr id="6" name="Left Brace 5">
          <a:extLst>
            <a:ext uri="{FF2B5EF4-FFF2-40B4-BE49-F238E27FC236}">
              <a16:creationId xmlns:a16="http://schemas.microsoft.com/office/drawing/2014/main" id="{56E8420D-C39B-E1C8-E21F-A13DA418E781}"/>
            </a:ext>
          </a:extLst>
        </xdr:cNvPr>
        <xdr:cNvSpPr/>
      </xdr:nvSpPr>
      <xdr:spPr>
        <a:xfrm rot="16200000">
          <a:off x="13528043671" y="4110982"/>
          <a:ext cx="174350" cy="330530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561589</xdr:colOff>
      <xdr:row>29</xdr:row>
      <xdr:rowOff>80531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AD4E2757-689D-D2BC-BD86-AF4AE1EE5384}"/>
                </a:ext>
              </a:extLst>
            </xdr:cNvPr>
            <xdr:cNvSpPr txBox="1"/>
          </xdr:nvSpPr>
          <xdr:spPr>
            <a:xfrm>
              <a:off x="13526764054" y="5935011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AD4E2757-689D-D2BC-BD86-AF4AE1EE5384}"/>
                </a:ext>
              </a:extLst>
            </xdr:cNvPr>
            <xdr:cNvSpPr txBox="1"/>
          </xdr:nvSpPr>
          <xdr:spPr>
            <a:xfrm>
              <a:off x="13526764054" y="5935011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𝑃𝑀𝑇=5,000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565259</xdr:colOff>
      <xdr:row>30</xdr:row>
      <xdr:rowOff>62179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9AFE0BD-2A66-DA86-CAD5-54D9308E9163}"/>
                </a:ext>
              </a:extLst>
            </xdr:cNvPr>
            <xdr:cNvSpPr txBox="1"/>
          </xdr:nvSpPr>
          <xdr:spPr>
            <a:xfrm>
              <a:off x="13526760384" y="6118537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9AFE0BD-2A66-DA86-CAD5-54D9308E9163}"/>
                </a:ext>
              </a:extLst>
            </xdr:cNvPr>
            <xdr:cNvSpPr txBox="1"/>
          </xdr:nvSpPr>
          <xdr:spPr>
            <a:xfrm>
              <a:off x="13526760384" y="6118537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𝑛=10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561588</xdr:colOff>
      <xdr:row>31</xdr:row>
      <xdr:rowOff>91542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7FBDC37-0CA1-3A89-DAFE-1B6CAD98BD38}"/>
                </a:ext>
              </a:extLst>
            </xdr:cNvPr>
            <xdr:cNvSpPr txBox="1"/>
          </xdr:nvSpPr>
          <xdr:spPr>
            <a:xfrm>
              <a:off x="13526764055" y="6349779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B7FBDC37-0CA1-3A89-DAFE-1B6CAD98BD38}"/>
                </a:ext>
              </a:extLst>
            </xdr:cNvPr>
            <xdr:cNvSpPr txBox="1"/>
          </xdr:nvSpPr>
          <xdr:spPr>
            <a:xfrm>
              <a:off x="13526764055" y="6349779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561588</xdr:colOff>
      <xdr:row>32</xdr:row>
      <xdr:rowOff>135588</xdr:rowOff>
    </xdr:from>
    <xdr:ext cx="285427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F089BBA-662E-E2CC-6DBE-642530F3BD62}"/>
                </a:ext>
              </a:extLst>
            </xdr:cNvPr>
            <xdr:cNvSpPr txBox="1"/>
          </xdr:nvSpPr>
          <xdr:spPr>
            <a:xfrm>
              <a:off x="13526764055" y="6595704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F089BBA-662E-E2CC-6DBE-642530F3BD62}"/>
                </a:ext>
              </a:extLst>
            </xdr:cNvPr>
            <xdr:cNvSpPr txBox="1"/>
          </xdr:nvSpPr>
          <xdr:spPr>
            <a:xfrm>
              <a:off x="13526764055" y="6595704"/>
              <a:ext cx="285427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𝐹𝑉=40,000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378063</xdr:colOff>
      <xdr:row>28</xdr:row>
      <xdr:rowOff>23858</xdr:rowOff>
    </xdr:from>
    <xdr:to>
      <xdr:col>5</xdr:col>
      <xdr:colOff>398250</xdr:colOff>
      <xdr:row>34</xdr:row>
      <xdr:rowOff>44046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425D2714-7723-4A82-D54A-BE28B74BD79F}"/>
            </a:ext>
          </a:extLst>
        </xdr:cNvPr>
        <xdr:cNvCxnSpPr>
          <a:stCxn id="6" idx="0"/>
        </xdr:cNvCxnSpPr>
      </xdr:nvCxnSpPr>
      <xdr:spPr>
        <a:xfrm>
          <a:off x="13526478195" y="5676459"/>
          <a:ext cx="20187" cy="12314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403757</xdr:colOff>
      <xdr:row>28</xdr:row>
      <xdr:rowOff>56892</xdr:rowOff>
    </xdr:from>
    <xdr:to>
      <xdr:col>6</xdr:col>
      <xdr:colOff>409261</xdr:colOff>
      <xdr:row>34</xdr:row>
      <xdr:rowOff>40376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B423A4B4-F201-EAA5-3B80-30F67347C16A}"/>
            </a:ext>
          </a:extLst>
        </xdr:cNvPr>
        <xdr:cNvCxnSpPr/>
      </xdr:nvCxnSpPr>
      <xdr:spPr>
        <a:xfrm>
          <a:off x="13525641317" y="5709493"/>
          <a:ext cx="5504" cy="11947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381734</xdr:colOff>
      <xdr:row>34</xdr:row>
      <xdr:rowOff>47717</xdr:rowOff>
    </xdr:from>
    <xdr:to>
      <xdr:col>6</xdr:col>
      <xdr:colOff>392746</xdr:colOff>
      <xdr:row>34</xdr:row>
      <xdr:rowOff>51387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E3419D87-ACFD-A27E-D150-0D8D5EF96770}"/>
            </a:ext>
          </a:extLst>
        </xdr:cNvPr>
        <xdr:cNvCxnSpPr/>
      </xdr:nvCxnSpPr>
      <xdr:spPr>
        <a:xfrm flipH="1">
          <a:off x="13525657832" y="6911590"/>
          <a:ext cx="836879" cy="367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392031</xdr:colOff>
      <xdr:row>36</xdr:row>
      <xdr:rowOff>67001</xdr:rowOff>
    </xdr:from>
    <xdr:to>
      <xdr:col>1</xdr:col>
      <xdr:colOff>733197</xdr:colOff>
      <xdr:row>43</xdr:row>
      <xdr:rowOff>27446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E058F82-131A-72EA-6638-2DA3546DA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708350" y="7451331"/>
          <a:ext cx="1166011" cy="1396287"/>
        </a:xfrm>
        <a:prstGeom prst="rect">
          <a:avLst/>
        </a:prstGeom>
      </xdr:spPr>
    </xdr:pic>
    <xdr:clientData/>
  </xdr:twoCellAnchor>
  <xdr:twoCellAnchor>
    <xdr:from>
      <xdr:col>1</xdr:col>
      <xdr:colOff>667161</xdr:colOff>
      <xdr:row>37</xdr:row>
      <xdr:rowOff>512</xdr:rowOff>
    </xdr:from>
    <xdr:to>
      <xdr:col>3</xdr:col>
      <xdr:colOff>544472</xdr:colOff>
      <xdr:row>40</xdr:row>
      <xdr:rowOff>123202</xdr:rowOff>
    </xdr:to>
    <xdr:sp macro="" textlink="">
      <xdr:nvSpPr>
        <xdr:cNvPr id="19" name="Cloud Callout 18">
          <a:extLst>
            <a:ext uri="{FF2B5EF4-FFF2-40B4-BE49-F238E27FC236}">
              <a16:creationId xmlns:a16="http://schemas.microsoft.com/office/drawing/2014/main" id="{FA2FE128-1CD5-BC90-78C9-EF1113C6F1F0}"/>
            </a:ext>
          </a:extLst>
        </xdr:cNvPr>
        <xdr:cNvSpPr/>
      </xdr:nvSpPr>
      <xdr:spPr>
        <a:xfrm>
          <a:off x="13511247384" y="7589962"/>
          <a:ext cx="1527002" cy="738051"/>
        </a:xfrm>
        <a:prstGeom prst="cloudCallout">
          <a:avLst>
            <a:gd name="adj1" fmla="val 54872"/>
            <a:gd name="adj2" fmla="val 2410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הנכס</a:t>
          </a:r>
          <a:r>
            <a:rPr lang="he-IL" sz="1100" baseline="0"/>
            <a:t> שווה כ-67,577 ש״ח</a:t>
          </a:r>
          <a:endParaRPr lang="en-US" sz="1100"/>
        </a:p>
      </xdr:txBody>
    </xdr:sp>
    <xdr:clientData/>
  </xdr:twoCellAnchor>
  <xdr:twoCellAnchor>
    <xdr:from>
      <xdr:col>0</xdr:col>
      <xdr:colOff>293584</xdr:colOff>
      <xdr:row>56</xdr:row>
      <xdr:rowOff>201222</xdr:rowOff>
    </xdr:from>
    <xdr:to>
      <xdr:col>7</xdr:col>
      <xdr:colOff>719117</xdr:colOff>
      <xdr:row>57</xdr:row>
      <xdr:rowOff>13196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E5645A2-8B01-EBB2-7F10-2EBE7A3D9163}"/>
            </a:ext>
          </a:extLst>
        </xdr:cNvPr>
        <xdr:cNvCxnSpPr/>
      </xdr:nvCxnSpPr>
      <xdr:spPr>
        <a:xfrm flipV="1">
          <a:off x="13504988675" y="10836235"/>
          <a:ext cx="6198260" cy="16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62676</xdr:colOff>
      <xdr:row>53</xdr:row>
      <xdr:rowOff>17209</xdr:rowOff>
    </xdr:from>
    <xdr:to>
      <xdr:col>7</xdr:col>
      <xdr:colOff>466932</xdr:colOff>
      <xdr:row>55</xdr:row>
      <xdr:rowOff>119578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43EC1D-A859-8960-F84D-6BC8B5FCF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5240860" y="10038664"/>
          <a:ext cx="404256" cy="511408"/>
        </a:xfrm>
        <a:prstGeom prst="rect">
          <a:avLst/>
        </a:prstGeom>
      </xdr:spPr>
    </xdr:pic>
    <xdr:clientData/>
  </xdr:twoCellAnchor>
  <xdr:twoCellAnchor>
    <xdr:from>
      <xdr:col>7</xdr:col>
      <xdr:colOff>9162</xdr:colOff>
      <xdr:row>53</xdr:row>
      <xdr:rowOff>52779</xdr:rowOff>
    </xdr:from>
    <xdr:to>
      <xdr:col>7</xdr:col>
      <xdr:colOff>527792</xdr:colOff>
      <xdr:row>55</xdr:row>
      <xdr:rowOff>60570</xdr:rowOff>
    </xdr:to>
    <xdr:sp macro="" textlink="">
      <xdr:nvSpPr>
        <xdr:cNvPr id="23" name="Freeform 22">
          <a:extLst>
            <a:ext uri="{FF2B5EF4-FFF2-40B4-BE49-F238E27FC236}">
              <a16:creationId xmlns:a16="http://schemas.microsoft.com/office/drawing/2014/main" id="{407A098B-058C-BFF3-D321-5DF57FC408D9}"/>
            </a:ext>
          </a:extLst>
        </xdr:cNvPr>
        <xdr:cNvSpPr/>
      </xdr:nvSpPr>
      <xdr:spPr>
        <a:xfrm>
          <a:off x="13505180000" y="10074234"/>
          <a:ext cx="518630" cy="416830"/>
        </a:xfrm>
        <a:custGeom>
          <a:avLst/>
          <a:gdLst>
            <a:gd name="connsiteX0" fmla="*/ 234208 w 518630"/>
            <a:gd name="connsiteY0" fmla="*/ 16493 h 416830"/>
            <a:gd name="connsiteX1" fmla="*/ 211117 w 518630"/>
            <a:gd name="connsiteY1" fmla="*/ 29688 h 416830"/>
            <a:gd name="connsiteX2" fmla="*/ 168234 w 518630"/>
            <a:gd name="connsiteY2" fmla="*/ 62675 h 416830"/>
            <a:gd name="connsiteX3" fmla="*/ 145143 w 518630"/>
            <a:gd name="connsiteY3" fmla="*/ 85766 h 416830"/>
            <a:gd name="connsiteX4" fmla="*/ 138545 w 518630"/>
            <a:gd name="connsiteY4" fmla="*/ 92363 h 416830"/>
            <a:gd name="connsiteX5" fmla="*/ 118753 w 518630"/>
            <a:gd name="connsiteY5" fmla="*/ 131948 h 416830"/>
            <a:gd name="connsiteX6" fmla="*/ 92364 w 518630"/>
            <a:gd name="connsiteY6" fmla="*/ 184727 h 416830"/>
            <a:gd name="connsiteX7" fmla="*/ 82468 w 518630"/>
            <a:gd name="connsiteY7" fmla="*/ 204519 h 416830"/>
            <a:gd name="connsiteX8" fmla="*/ 82468 w 518630"/>
            <a:gd name="connsiteY8" fmla="*/ 244104 h 416830"/>
            <a:gd name="connsiteX9" fmla="*/ 85766 w 518630"/>
            <a:gd name="connsiteY9" fmla="*/ 227610 h 416830"/>
            <a:gd name="connsiteX10" fmla="*/ 98961 w 518630"/>
            <a:gd name="connsiteY10" fmla="*/ 151740 h 416830"/>
            <a:gd name="connsiteX11" fmla="*/ 112156 w 518630"/>
            <a:gd name="connsiteY11" fmla="*/ 125350 h 416830"/>
            <a:gd name="connsiteX12" fmla="*/ 178130 w 518630"/>
            <a:gd name="connsiteY12" fmla="*/ 85766 h 416830"/>
            <a:gd name="connsiteX13" fmla="*/ 204519 w 518630"/>
            <a:gd name="connsiteY13" fmla="*/ 72571 h 416830"/>
            <a:gd name="connsiteX14" fmla="*/ 214416 w 518630"/>
            <a:gd name="connsiteY14" fmla="*/ 69272 h 416830"/>
            <a:gd name="connsiteX15" fmla="*/ 138545 w 518630"/>
            <a:gd name="connsiteY15" fmla="*/ 75870 h 416830"/>
            <a:gd name="connsiteX16" fmla="*/ 131948 w 518630"/>
            <a:gd name="connsiteY16" fmla="*/ 105558 h 416830"/>
            <a:gd name="connsiteX17" fmla="*/ 135247 w 518630"/>
            <a:gd name="connsiteY17" fmla="*/ 125350 h 416830"/>
            <a:gd name="connsiteX18" fmla="*/ 138545 w 518630"/>
            <a:gd name="connsiteY18" fmla="*/ 112156 h 416830"/>
            <a:gd name="connsiteX19" fmla="*/ 155039 w 518630"/>
            <a:gd name="connsiteY19" fmla="*/ 75870 h 416830"/>
            <a:gd name="connsiteX20" fmla="*/ 168234 w 518630"/>
            <a:gd name="connsiteY20" fmla="*/ 56078 h 416830"/>
            <a:gd name="connsiteX21" fmla="*/ 201221 w 518630"/>
            <a:gd name="connsiteY21" fmla="*/ 23091 h 416830"/>
            <a:gd name="connsiteX22" fmla="*/ 263896 w 518630"/>
            <a:gd name="connsiteY22" fmla="*/ 29688 h 416830"/>
            <a:gd name="connsiteX23" fmla="*/ 336468 w 518630"/>
            <a:gd name="connsiteY23" fmla="*/ 32987 h 416830"/>
            <a:gd name="connsiteX24" fmla="*/ 362857 w 518630"/>
            <a:gd name="connsiteY24" fmla="*/ 42883 h 416830"/>
            <a:gd name="connsiteX25" fmla="*/ 376052 w 518630"/>
            <a:gd name="connsiteY25" fmla="*/ 56078 h 416830"/>
            <a:gd name="connsiteX26" fmla="*/ 392545 w 518630"/>
            <a:gd name="connsiteY26" fmla="*/ 65974 h 416830"/>
            <a:gd name="connsiteX27" fmla="*/ 412338 w 518630"/>
            <a:gd name="connsiteY27" fmla="*/ 79169 h 416830"/>
            <a:gd name="connsiteX28" fmla="*/ 422234 w 518630"/>
            <a:gd name="connsiteY28" fmla="*/ 112156 h 416830"/>
            <a:gd name="connsiteX29" fmla="*/ 425532 w 518630"/>
            <a:gd name="connsiteY29" fmla="*/ 122052 h 416830"/>
            <a:gd name="connsiteX30" fmla="*/ 428831 w 518630"/>
            <a:gd name="connsiteY30" fmla="*/ 155039 h 416830"/>
            <a:gd name="connsiteX31" fmla="*/ 432130 w 518630"/>
            <a:gd name="connsiteY31" fmla="*/ 164935 h 416830"/>
            <a:gd name="connsiteX32" fmla="*/ 435429 w 518630"/>
            <a:gd name="connsiteY32" fmla="*/ 178130 h 416830"/>
            <a:gd name="connsiteX33" fmla="*/ 438727 w 518630"/>
            <a:gd name="connsiteY33" fmla="*/ 204519 h 416830"/>
            <a:gd name="connsiteX34" fmla="*/ 442026 w 518630"/>
            <a:gd name="connsiteY34" fmla="*/ 214415 h 416830"/>
            <a:gd name="connsiteX35" fmla="*/ 445325 w 518630"/>
            <a:gd name="connsiteY35" fmla="*/ 227610 h 416830"/>
            <a:gd name="connsiteX36" fmla="*/ 448623 w 518630"/>
            <a:gd name="connsiteY36" fmla="*/ 244104 h 416830"/>
            <a:gd name="connsiteX37" fmla="*/ 455221 w 518630"/>
            <a:gd name="connsiteY37" fmla="*/ 263896 h 416830"/>
            <a:gd name="connsiteX38" fmla="*/ 448623 w 518630"/>
            <a:gd name="connsiteY38" fmla="*/ 211117 h 416830"/>
            <a:gd name="connsiteX39" fmla="*/ 442026 w 518630"/>
            <a:gd name="connsiteY39" fmla="*/ 178130 h 416830"/>
            <a:gd name="connsiteX40" fmla="*/ 428831 w 518630"/>
            <a:gd name="connsiteY40" fmla="*/ 161636 h 416830"/>
            <a:gd name="connsiteX41" fmla="*/ 405740 w 518630"/>
            <a:gd name="connsiteY41" fmla="*/ 131948 h 416830"/>
            <a:gd name="connsiteX42" fmla="*/ 385948 w 518630"/>
            <a:gd name="connsiteY42" fmla="*/ 105558 h 416830"/>
            <a:gd name="connsiteX43" fmla="*/ 362857 w 518630"/>
            <a:gd name="connsiteY43" fmla="*/ 79169 h 416830"/>
            <a:gd name="connsiteX44" fmla="*/ 346364 w 518630"/>
            <a:gd name="connsiteY44" fmla="*/ 72571 h 416830"/>
            <a:gd name="connsiteX45" fmla="*/ 333169 w 518630"/>
            <a:gd name="connsiteY45" fmla="*/ 65974 h 416830"/>
            <a:gd name="connsiteX46" fmla="*/ 310078 w 518630"/>
            <a:gd name="connsiteY46" fmla="*/ 62675 h 416830"/>
            <a:gd name="connsiteX47" fmla="*/ 290286 w 518630"/>
            <a:gd name="connsiteY47" fmla="*/ 59376 h 416830"/>
            <a:gd name="connsiteX48" fmla="*/ 267195 w 518630"/>
            <a:gd name="connsiteY48" fmla="*/ 49480 h 416830"/>
            <a:gd name="connsiteX49" fmla="*/ 227610 w 518630"/>
            <a:gd name="connsiteY49" fmla="*/ 39584 h 416830"/>
            <a:gd name="connsiteX50" fmla="*/ 204519 w 518630"/>
            <a:gd name="connsiteY50" fmla="*/ 36285 h 416830"/>
            <a:gd name="connsiteX51" fmla="*/ 138545 w 518630"/>
            <a:gd name="connsiteY51" fmla="*/ 42883 h 416830"/>
            <a:gd name="connsiteX52" fmla="*/ 95662 w 518630"/>
            <a:gd name="connsiteY52" fmla="*/ 56078 h 416830"/>
            <a:gd name="connsiteX53" fmla="*/ 82468 w 518630"/>
            <a:gd name="connsiteY53" fmla="*/ 65974 h 416830"/>
            <a:gd name="connsiteX54" fmla="*/ 65974 w 518630"/>
            <a:gd name="connsiteY54" fmla="*/ 72571 h 416830"/>
            <a:gd name="connsiteX55" fmla="*/ 59377 w 518630"/>
            <a:gd name="connsiteY55" fmla="*/ 82467 h 416830"/>
            <a:gd name="connsiteX56" fmla="*/ 46182 w 518630"/>
            <a:gd name="connsiteY56" fmla="*/ 92363 h 416830"/>
            <a:gd name="connsiteX57" fmla="*/ 29688 w 518630"/>
            <a:gd name="connsiteY57" fmla="*/ 122052 h 416830"/>
            <a:gd name="connsiteX58" fmla="*/ 23091 w 518630"/>
            <a:gd name="connsiteY58" fmla="*/ 135247 h 416830"/>
            <a:gd name="connsiteX59" fmla="*/ 19792 w 518630"/>
            <a:gd name="connsiteY59" fmla="*/ 151740 h 416830"/>
            <a:gd name="connsiteX60" fmla="*/ 16494 w 518630"/>
            <a:gd name="connsiteY60" fmla="*/ 164935 h 416830"/>
            <a:gd name="connsiteX61" fmla="*/ 26390 w 518630"/>
            <a:gd name="connsiteY61" fmla="*/ 188026 h 416830"/>
            <a:gd name="connsiteX62" fmla="*/ 32987 w 518630"/>
            <a:gd name="connsiteY62" fmla="*/ 234208 h 416830"/>
            <a:gd name="connsiteX63" fmla="*/ 36286 w 518630"/>
            <a:gd name="connsiteY63" fmla="*/ 244104 h 416830"/>
            <a:gd name="connsiteX64" fmla="*/ 39584 w 518630"/>
            <a:gd name="connsiteY64" fmla="*/ 267195 h 416830"/>
            <a:gd name="connsiteX65" fmla="*/ 49481 w 518630"/>
            <a:gd name="connsiteY65" fmla="*/ 316675 h 416830"/>
            <a:gd name="connsiteX66" fmla="*/ 49481 w 518630"/>
            <a:gd name="connsiteY66" fmla="*/ 270493 h 416830"/>
            <a:gd name="connsiteX67" fmla="*/ 46182 w 518630"/>
            <a:gd name="connsiteY67" fmla="*/ 257298 h 416830"/>
            <a:gd name="connsiteX68" fmla="*/ 42883 w 518630"/>
            <a:gd name="connsiteY68" fmla="*/ 244104 h 416830"/>
            <a:gd name="connsiteX69" fmla="*/ 49481 w 518630"/>
            <a:gd name="connsiteY69" fmla="*/ 164935 h 416830"/>
            <a:gd name="connsiteX70" fmla="*/ 56078 w 518630"/>
            <a:gd name="connsiteY70" fmla="*/ 141844 h 416830"/>
            <a:gd name="connsiteX71" fmla="*/ 62675 w 518630"/>
            <a:gd name="connsiteY71" fmla="*/ 115454 h 416830"/>
            <a:gd name="connsiteX72" fmla="*/ 69273 w 518630"/>
            <a:gd name="connsiteY72" fmla="*/ 108857 h 416830"/>
            <a:gd name="connsiteX73" fmla="*/ 118753 w 518630"/>
            <a:gd name="connsiteY73" fmla="*/ 102260 h 416830"/>
            <a:gd name="connsiteX74" fmla="*/ 204519 w 518630"/>
            <a:gd name="connsiteY74" fmla="*/ 65974 h 416830"/>
            <a:gd name="connsiteX75" fmla="*/ 300182 w 518630"/>
            <a:gd name="connsiteY75" fmla="*/ 26389 h 416830"/>
            <a:gd name="connsiteX76" fmla="*/ 319974 w 518630"/>
            <a:gd name="connsiteY76" fmla="*/ 23091 h 416830"/>
            <a:gd name="connsiteX77" fmla="*/ 372753 w 518630"/>
            <a:gd name="connsiteY77" fmla="*/ 29688 h 416830"/>
            <a:gd name="connsiteX78" fmla="*/ 412338 w 518630"/>
            <a:gd name="connsiteY78" fmla="*/ 46182 h 416830"/>
            <a:gd name="connsiteX79" fmla="*/ 422234 w 518630"/>
            <a:gd name="connsiteY79" fmla="*/ 52779 h 416830"/>
            <a:gd name="connsiteX80" fmla="*/ 425532 w 518630"/>
            <a:gd name="connsiteY80" fmla="*/ 62675 h 416830"/>
            <a:gd name="connsiteX81" fmla="*/ 432130 w 518630"/>
            <a:gd name="connsiteY81" fmla="*/ 112156 h 416830"/>
            <a:gd name="connsiteX82" fmla="*/ 442026 w 518630"/>
            <a:gd name="connsiteY82" fmla="*/ 135247 h 416830"/>
            <a:gd name="connsiteX83" fmla="*/ 461818 w 518630"/>
            <a:gd name="connsiteY83" fmla="*/ 174831 h 416830"/>
            <a:gd name="connsiteX84" fmla="*/ 475013 w 518630"/>
            <a:gd name="connsiteY84" fmla="*/ 211117 h 416830"/>
            <a:gd name="connsiteX85" fmla="*/ 484909 w 518630"/>
            <a:gd name="connsiteY85" fmla="*/ 237506 h 416830"/>
            <a:gd name="connsiteX86" fmla="*/ 488208 w 518630"/>
            <a:gd name="connsiteY86" fmla="*/ 227610 h 416830"/>
            <a:gd name="connsiteX87" fmla="*/ 484909 w 518630"/>
            <a:gd name="connsiteY87" fmla="*/ 214415 h 416830"/>
            <a:gd name="connsiteX88" fmla="*/ 475013 w 518630"/>
            <a:gd name="connsiteY88" fmla="*/ 194623 h 416830"/>
            <a:gd name="connsiteX89" fmla="*/ 451922 w 518630"/>
            <a:gd name="connsiteY89" fmla="*/ 178130 h 416830"/>
            <a:gd name="connsiteX90" fmla="*/ 418935 w 518630"/>
            <a:gd name="connsiteY90" fmla="*/ 141844 h 416830"/>
            <a:gd name="connsiteX91" fmla="*/ 382649 w 518630"/>
            <a:gd name="connsiteY91" fmla="*/ 108857 h 416830"/>
            <a:gd name="connsiteX92" fmla="*/ 372753 w 518630"/>
            <a:gd name="connsiteY92" fmla="*/ 95662 h 416830"/>
            <a:gd name="connsiteX93" fmla="*/ 349662 w 518630"/>
            <a:gd name="connsiteY93" fmla="*/ 72571 h 416830"/>
            <a:gd name="connsiteX94" fmla="*/ 343065 w 518630"/>
            <a:gd name="connsiteY94" fmla="*/ 62675 h 416830"/>
            <a:gd name="connsiteX95" fmla="*/ 329870 w 518630"/>
            <a:gd name="connsiteY95" fmla="*/ 56078 h 416830"/>
            <a:gd name="connsiteX96" fmla="*/ 267195 w 518630"/>
            <a:gd name="connsiteY96" fmla="*/ 59376 h 416830"/>
            <a:gd name="connsiteX97" fmla="*/ 207818 w 518630"/>
            <a:gd name="connsiteY97" fmla="*/ 65974 h 416830"/>
            <a:gd name="connsiteX98" fmla="*/ 158338 w 518630"/>
            <a:gd name="connsiteY98" fmla="*/ 69272 h 416830"/>
            <a:gd name="connsiteX99" fmla="*/ 115455 w 518630"/>
            <a:gd name="connsiteY99" fmla="*/ 75870 h 416830"/>
            <a:gd name="connsiteX100" fmla="*/ 98961 w 518630"/>
            <a:gd name="connsiteY100" fmla="*/ 79169 h 416830"/>
            <a:gd name="connsiteX101" fmla="*/ 62675 w 518630"/>
            <a:gd name="connsiteY101" fmla="*/ 95662 h 416830"/>
            <a:gd name="connsiteX102" fmla="*/ 42883 w 518630"/>
            <a:gd name="connsiteY102" fmla="*/ 102260 h 416830"/>
            <a:gd name="connsiteX103" fmla="*/ 9896 w 518630"/>
            <a:gd name="connsiteY103" fmla="*/ 118753 h 416830"/>
            <a:gd name="connsiteX104" fmla="*/ 0 w 518630"/>
            <a:gd name="connsiteY104" fmla="*/ 138545 h 416830"/>
            <a:gd name="connsiteX105" fmla="*/ 6597 w 518630"/>
            <a:gd name="connsiteY105" fmla="*/ 178130 h 416830"/>
            <a:gd name="connsiteX106" fmla="*/ 13195 w 518630"/>
            <a:gd name="connsiteY106" fmla="*/ 194623 h 416830"/>
            <a:gd name="connsiteX107" fmla="*/ 16494 w 518630"/>
            <a:gd name="connsiteY107" fmla="*/ 224311 h 416830"/>
            <a:gd name="connsiteX108" fmla="*/ 23091 w 518630"/>
            <a:gd name="connsiteY108" fmla="*/ 240805 h 416830"/>
            <a:gd name="connsiteX109" fmla="*/ 29688 w 518630"/>
            <a:gd name="connsiteY109" fmla="*/ 267195 h 416830"/>
            <a:gd name="connsiteX110" fmla="*/ 32987 w 518630"/>
            <a:gd name="connsiteY110" fmla="*/ 283688 h 416830"/>
            <a:gd name="connsiteX111" fmla="*/ 39584 w 518630"/>
            <a:gd name="connsiteY111" fmla="*/ 319974 h 416830"/>
            <a:gd name="connsiteX112" fmla="*/ 46182 w 518630"/>
            <a:gd name="connsiteY112" fmla="*/ 346363 h 416830"/>
            <a:gd name="connsiteX113" fmla="*/ 52779 w 518630"/>
            <a:gd name="connsiteY113" fmla="*/ 389247 h 416830"/>
            <a:gd name="connsiteX114" fmla="*/ 56078 w 518630"/>
            <a:gd name="connsiteY114" fmla="*/ 405740 h 416830"/>
            <a:gd name="connsiteX115" fmla="*/ 59377 w 518630"/>
            <a:gd name="connsiteY115" fmla="*/ 415636 h 416830"/>
            <a:gd name="connsiteX116" fmla="*/ 52779 w 518630"/>
            <a:gd name="connsiteY116" fmla="*/ 405740 h 416830"/>
            <a:gd name="connsiteX117" fmla="*/ 49481 w 518630"/>
            <a:gd name="connsiteY117" fmla="*/ 349662 h 416830"/>
            <a:gd name="connsiteX118" fmla="*/ 46182 w 518630"/>
            <a:gd name="connsiteY118" fmla="*/ 339766 h 416830"/>
            <a:gd name="connsiteX119" fmla="*/ 42883 w 518630"/>
            <a:gd name="connsiteY119" fmla="*/ 326571 h 416830"/>
            <a:gd name="connsiteX120" fmla="*/ 42883 w 518630"/>
            <a:gd name="connsiteY120" fmla="*/ 141844 h 416830"/>
            <a:gd name="connsiteX121" fmla="*/ 49481 w 518630"/>
            <a:gd name="connsiteY121" fmla="*/ 125350 h 416830"/>
            <a:gd name="connsiteX122" fmla="*/ 56078 w 518630"/>
            <a:gd name="connsiteY122" fmla="*/ 115454 h 416830"/>
            <a:gd name="connsiteX123" fmla="*/ 85766 w 518630"/>
            <a:gd name="connsiteY123" fmla="*/ 102260 h 416830"/>
            <a:gd name="connsiteX124" fmla="*/ 128649 w 518630"/>
            <a:gd name="connsiteY124" fmla="*/ 82467 h 416830"/>
            <a:gd name="connsiteX125" fmla="*/ 191325 w 518630"/>
            <a:gd name="connsiteY125" fmla="*/ 59376 h 416830"/>
            <a:gd name="connsiteX126" fmla="*/ 303481 w 518630"/>
            <a:gd name="connsiteY126" fmla="*/ 32987 h 416830"/>
            <a:gd name="connsiteX127" fmla="*/ 333169 w 518630"/>
            <a:gd name="connsiteY127" fmla="*/ 29688 h 416830"/>
            <a:gd name="connsiteX128" fmla="*/ 356260 w 518630"/>
            <a:gd name="connsiteY128" fmla="*/ 26389 h 416830"/>
            <a:gd name="connsiteX129" fmla="*/ 382649 w 518630"/>
            <a:gd name="connsiteY129" fmla="*/ 42883 h 416830"/>
            <a:gd name="connsiteX130" fmla="*/ 409039 w 518630"/>
            <a:gd name="connsiteY130" fmla="*/ 56078 h 416830"/>
            <a:gd name="connsiteX131" fmla="*/ 418935 w 518630"/>
            <a:gd name="connsiteY131" fmla="*/ 62675 h 416830"/>
            <a:gd name="connsiteX132" fmla="*/ 425532 w 518630"/>
            <a:gd name="connsiteY132" fmla="*/ 72571 h 416830"/>
            <a:gd name="connsiteX133" fmla="*/ 432130 w 518630"/>
            <a:gd name="connsiteY133" fmla="*/ 79169 h 416830"/>
            <a:gd name="connsiteX134" fmla="*/ 438727 w 518630"/>
            <a:gd name="connsiteY134" fmla="*/ 92363 h 416830"/>
            <a:gd name="connsiteX135" fmla="*/ 442026 w 518630"/>
            <a:gd name="connsiteY135" fmla="*/ 108857 h 416830"/>
            <a:gd name="connsiteX136" fmla="*/ 448623 w 518630"/>
            <a:gd name="connsiteY136" fmla="*/ 118753 h 416830"/>
            <a:gd name="connsiteX137" fmla="*/ 461818 w 518630"/>
            <a:gd name="connsiteY137" fmla="*/ 145143 h 416830"/>
            <a:gd name="connsiteX138" fmla="*/ 475013 w 518630"/>
            <a:gd name="connsiteY138" fmla="*/ 171532 h 416830"/>
            <a:gd name="connsiteX139" fmla="*/ 478312 w 518630"/>
            <a:gd name="connsiteY139" fmla="*/ 181428 h 416830"/>
            <a:gd name="connsiteX140" fmla="*/ 491506 w 518630"/>
            <a:gd name="connsiteY140" fmla="*/ 197922 h 416830"/>
            <a:gd name="connsiteX141" fmla="*/ 498104 w 518630"/>
            <a:gd name="connsiteY141" fmla="*/ 217714 h 416830"/>
            <a:gd name="connsiteX142" fmla="*/ 501403 w 518630"/>
            <a:gd name="connsiteY142" fmla="*/ 227610 h 416830"/>
            <a:gd name="connsiteX143" fmla="*/ 508000 w 518630"/>
            <a:gd name="connsiteY143" fmla="*/ 234208 h 416830"/>
            <a:gd name="connsiteX144" fmla="*/ 514597 w 518630"/>
            <a:gd name="connsiteY144" fmla="*/ 247402 h 416830"/>
            <a:gd name="connsiteX145" fmla="*/ 517896 w 518630"/>
            <a:gd name="connsiteY145" fmla="*/ 257298 h 416830"/>
            <a:gd name="connsiteX146" fmla="*/ 504701 w 518630"/>
            <a:gd name="connsiteY146" fmla="*/ 237506 h 416830"/>
            <a:gd name="connsiteX147" fmla="*/ 484909 w 518630"/>
            <a:gd name="connsiteY147" fmla="*/ 191324 h 416830"/>
            <a:gd name="connsiteX148" fmla="*/ 475013 w 518630"/>
            <a:gd name="connsiteY148" fmla="*/ 168234 h 416830"/>
            <a:gd name="connsiteX149" fmla="*/ 458519 w 518630"/>
            <a:gd name="connsiteY149" fmla="*/ 145143 h 416830"/>
            <a:gd name="connsiteX150" fmla="*/ 435429 w 518630"/>
            <a:gd name="connsiteY150" fmla="*/ 105558 h 416830"/>
            <a:gd name="connsiteX151" fmla="*/ 428831 w 518630"/>
            <a:gd name="connsiteY151" fmla="*/ 95662 h 416830"/>
            <a:gd name="connsiteX152" fmla="*/ 415636 w 518630"/>
            <a:gd name="connsiteY152" fmla="*/ 79169 h 416830"/>
            <a:gd name="connsiteX153" fmla="*/ 409039 w 518630"/>
            <a:gd name="connsiteY153" fmla="*/ 69272 h 416830"/>
            <a:gd name="connsiteX154" fmla="*/ 385948 w 518630"/>
            <a:gd name="connsiteY154" fmla="*/ 52779 h 416830"/>
            <a:gd name="connsiteX155" fmla="*/ 280390 w 518630"/>
            <a:gd name="connsiteY155" fmla="*/ 59376 h 416830"/>
            <a:gd name="connsiteX156" fmla="*/ 194623 w 518630"/>
            <a:gd name="connsiteY156" fmla="*/ 65974 h 416830"/>
            <a:gd name="connsiteX157" fmla="*/ 155039 w 518630"/>
            <a:gd name="connsiteY157" fmla="*/ 72571 h 416830"/>
            <a:gd name="connsiteX158" fmla="*/ 125351 w 518630"/>
            <a:gd name="connsiteY158" fmla="*/ 75870 h 416830"/>
            <a:gd name="connsiteX159" fmla="*/ 108857 w 518630"/>
            <a:gd name="connsiteY159" fmla="*/ 82467 h 416830"/>
            <a:gd name="connsiteX160" fmla="*/ 92364 w 518630"/>
            <a:gd name="connsiteY160" fmla="*/ 85766 h 416830"/>
            <a:gd name="connsiteX161" fmla="*/ 69273 w 518630"/>
            <a:gd name="connsiteY161" fmla="*/ 92363 h 416830"/>
            <a:gd name="connsiteX162" fmla="*/ 72571 w 518630"/>
            <a:gd name="connsiteY162" fmla="*/ 122052 h 416830"/>
            <a:gd name="connsiteX163" fmla="*/ 75870 w 518630"/>
            <a:gd name="connsiteY163" fmla="*/ 138545 h 416830"/>
            <a:gd name="connsiteX164" fmla="*/ 72571 w 518630"/>
            <a:gd name="connsiteY164" fmla="*/ 257298 h 416830"/>
            <a:gd name="connsiteX165" fmla="*/ 69273 w 518630"/>
            <a:gd name="connsiteY165" fmla="*/ 283688 h 416830"/>
            <a:gd name="connsiteX166" fmla="*/ 62675 w 518630"/>
            <a:gd name="connsiteY166" fmla="*/ 319974 h 416830"/>
            <a:gd name="connsiteX167" fmla="*/ 65974 w 518630"/>
            <a:gd name="connsiteY167" fmla="*/ 412337 h 416830"/>
            <a:gd name="connsiteX168" fmla="*/ 69273 w 518630"/>
            <a:gd name="connsiteY168" fmla="*/ 339766 h 416830"/>
            <a:gd name="connsiteX169" fmla="*/ 72571 w 518630"/>
            <a:gd name="connsiteY169" fmla="*/ 306779 h 416830"/>
            <a:gd name="connsiteX170" fmla="*/ 75870 w 518630"/>
            <a:gd name="connsiteY170" fmla="*/ 188026 h 416830"/>
            <a:gd name="connsiteX171" fmla="*/ 92364 w 518630"/>
            <a:gd name="connsiteY171" fmla="*/ 141844 h 416830"/>
            <a:gd name="connsiteX172" fmla="*/ 105558 w 518630"/>
            <a:gd name="connsiteY172" fmla="*/ 115454 h 416830"/>
            <a:gd name="connsiteX173" fmla="*/ 115455 w 518630"/>
            <a:gd name="connsiteY173" fmla="*/ 89065 h 416830"/>
            <a:gd name="connsiteX174" fmla="*/ 125351 w 518630"/>
            <a:gd name="connsiteY174" fmla="*/ 65974 h 416830"/>
            <a:gd name="connsiteX175" fmla="*/ 135247 w 518630"/>
            <a:gd name="connsiteY175" fmla="*/ 49480 h 416830"/>
            <a:gd name="connsiteX176" fmla="*/ 148442 w 518630"/>
            <a:gd name="connsiteY176" fmla="*/ 42883 h 416830"/>
            <a:gd name="connsiteX177" fmla="*/ 174831 w 518630"/>
            <a:gd name="connsiteY177" fmla="*/ 23091 h 416830"/>
            <a:gd name="connsiteX178" fmla="*/ 184727 w 518630"/>
            <a:gd name="connsiteY178" fmla="*/ 16493 h 416830"/>
            <a:gd name="connsiteX179" fmla="*/ 148442 w 518630"/>
            <a:gd name="connsiteY179" fmla="*/ 13195 h 416830"/>
            <a:gd name="connsiteX180" fmla="*/ 161636 w 518630"/>
            <a:gd name="connsiteY180" fmla="*/ 9896 h 416830"/>
            <a:gd name="connsiteX181" fmla="*/ 188026 w 518630"/>
            <a:gd name="connsiteY181" fmla="*/ 0 h 416830"/>
            <a:gd name="connsiteX182" fmla="*/ 293584 w 518630"/>
            <a:gd name="connsiteY182" fmla="*/ 3298 h 416830"/>
            <a:gd name="connsiteX183" fmla="*/ 352961 w 518630"/>
            <a:gd name="connsiteY183" fmla="*/ 9896 h 416830"/>
            <a:gd name="connsiteX184" fmla="*/ 379351 w 518630"/>
            <a:gd name="connsiteY184" fmla="*/ 13195 h 416830"/>
            <a:gd name="connsiteX185" fmla="*/ 382649 w 518630"/>
            <a:gd name="connsiteY185" fmla="*/ 89065 h 416830"/>
            <a:gd name="connsiteX186" fmla="*/ 415636 w 518630"/>
            <a:gd name="connsiteY186" fmla="*/ 141844 h 416830"/>
            <a:gd name="connsiteX187" fmla="*/ 451922 w 518630"/>
            <a:gd name="connsiteY187" fmla="*/ 188026 h 416830"/>
            <a:gd name="connsiteX188" fmla="*/ 461818 w 518630"/>
            <a:gd name="connsiteY188" fmla="*/ 204519 h 416830"/>
            <a:gd name="connsiteX189" fmla="*/ 478312 w 518630"/>
            <a:gd name="connsiteY189" fmla="*/ 221013 h 416830"/>
            <a:gd name="connsiteX190" fmla="*/ 491506 w 518630"/>
            <a:gd name="connsiteY190" fmla="*/ 240805 h 416830"/>
            <a:gd name="connsiteX191" fmla="*/ 498104 w 518630"/>
            <a:gd name="connsiteY191" fmla="*/ 250701 h 41683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</a:cxnLst>
          <a:rect l="l" t="t" r="r" b="b"/>
          <a:pathLst>
            <a:path w="518630" h="416830">
              <a:moveTo>
                <a:pt x="234208" y="16493"/>
              </a:moveTo>
              <a:cubicBezTo>
                <a:pt x="226511" y="20891"/>
                <a:pt x="218574" y="24894"/>
                <a:pt x="211117" y="29688"/>
              </a:cubicBezTo>
              <a:cubicBezTo>
                <a:pt x="198253" y="37958"/>
                <a:pt x="179663" y="52125"/>
                <a:pt x="168234" y="62675"/>
              </a:cubicBezTo>
              <a:cubicBezTo>
                <a:pt x="160235" y="70058"/>
                <a:pt x="152840" y="78069"/>
                <a:pt x="145143" y="85766"/>
              </a:cubicBezTo>
              <a:lnTo>
                <a:pt x="138545" y="92363"/>
              </a:lnTo>
              <a:cubicBezTo>
                <a:pt x="125168" y="132498"/>
                <a:pt x="140677" y="91753"/>
                <a:pt x="118753" y="131948"/>
              </a:cubicBezTo>
              <a:cubicBezTo>
                <a:pt x="109334" y="149216"/>
                <a:pt x="101160" y="167134"/>
                <a:pt x="92364" y="184727"/>
              </a:cubicBezTo>
              <a:lnTo>
                <a:pt x="82468" y="204519"/>
              </a:lnTo>
              <a:cubicBezTo>
                <a:pt x="80595" y="213884"/>
                <a:pt x="74284" y="235920"/>
                <a:pt x="82468" y="244104"/>
              </a:cubicBezTo>
              <a:cubicBezTo>
                <a:pt x="86433" y="248069"/>
                <a:pt x="84973" y="233160"/>
                <a:pt x="85766" y="227610"/>
              </a:cubicBezTo>
              <a:cubicBezTo>
                <a:pt x="92078" y="183427"/>
                <a:pt x="88071" y="184411"/>
                <a:pt x="98961" y="151740"/>
              </a:cubicBezTo>
              <a:cubicBezTo>
                <a:pt x="100791" y="146249"/>
                <a:pt x="106451" y="130341"/>
                <a:pt x="112156" y="125350"/>
              </a:cubicBezTo>
              <a:cubicBezTo>
                <a:pt x="123018" y="115846"/>
                <a:pt x="178021" y="85848"/>
                <a:pt x="178130" y="85766"/>
              </a:cubicBezTo>
              <a:cubicBezTo>
                <a:pt x="196680" y="71854"/>
                <a:pt x="184567" y="78272"/>
                <a:pt x="204519" y="72571"/>
              </a:cubicBezTo>
              <a:cubicBezTo>
                <a:pt x="207863" y="71616"/>
                <a:pt x="217889" y="69098"/>
                <a:pt x="214416" y="69272"/>
              </a:cubicBezTo>
              <a:cubicBezTo>
                <a:pt x="189062" y="70540"/>
                <a:pt x="163835" y="73671"/>
                <a:pt x="138545" y="75870"/>
              </a:cubicBezTo>
              <a:cubicBezTo>
                <a:pt x="135145" y="86073"/>
                <a:pt x="131948" y="93951"/>
                <a:pt x="131948" y="105558"/>
              </a:cubicBezTo>
              <a:cubicBezTo>
                <a:pt x="131948" y="112246"/>
                <a:pt x="134147" y="118753"/>
                <a:pt x="135247" y="125350"/>
              </a:cubicBezTo>
              <a:cubicBezTo>
                <a:pt x="136346" y="120952"/>
                <a:pt x="137111" y="116457"/>
                <a:pt x="138545" y="112156"/>
              </a:cubicBezTo>
              <a:cubicBezTo>
                <a:pt x="142012" y="101754"/>
                <a:pt x="149807" y="84839"/>
                <a:pt x="155039" y="75870"/>
              </a:cubicBezTo>
              <a:cubicBezTo>
                <a:pt x="159034" y="69021"/>
                <a:pt x="163625" y="62530"/>
                <a:pt x="168234" y="56078"/>
              </a:cubicBezTo>
              <a:cubicBezTo>
                <a:pt x="189293" y="26596"/>
                <a:pt x="178944" y="34229"/>
                <a:pt x="201221" y="23091"/>
              </a:cubicBezTo>
              <a:cubicBezTo>
                <a:pt x="230780" y="29002"/>
                <a:pt x="217813" y="27128"/>
                <a:pt x="263896" y="29688"/>
              </a:cubicBezTo>
              <a:cubicBezTo>
                <a:pt x="288074" y="31031"/>
                <a:pt x="312277" y="31887"/>
                <a:pt x="336468" y="32987"/>
              </a:cubicBezTo>
              <a:cubicBezTo>
                <a:pt x="346483" y="35490"/>
                <a:pt x="354231" y="36413"/>
                <a:pt x="362857" y="42883"/>
              </a:cubicBezTo>
              <a:cubicBezTo>
                <a:pt x="367833" y="46615"/>
                <a:pt x="371654" y="51680"/>
                <a:pt x="376052" y="56078"/>
              </a:cubicBezTo>
              <a:cubicBezTo>
                <a:pt x="380586" y="60612"/>
                <a:pt x="387136" y="62532"/>
                <a:pt x="392545" y="65974"/>
              </a:cubicBezTo>
              <a:cubicBezTo>
                <a:pt x="399235" y="70231"/>
                <a:pt x="412338" y="79169"/>
                <a:pt x="412338" y="79169"/>
              </a:cubicBezTo>
              <a:cubicBezTo>
                <a:pt x="417324" y="99115"/>
                <a:pt x="414200" y="88054"/>
                <a:pt x="422234" y="112156"/>
              </a:cubicBezTo>
              <a:lnTo>
                <a:pt x="425532" y="122052"/>
              </a:lnTo>
              <a:cubicBezTo>
                <a:pt x="426632" y="133048"/>
                <a:pt x="427151" y="144117"/>
                <a:pt x="428831" y="155039"/>
              </a:cubicBezTo>
              <a:cubicBezTo>
                <a:pt x="429360" y="158476"/>
                <a:pt x="431175" y="161592"/>
                <a:pt x="432130" y="164935"/>
              </a:cubicBezTo>
              <a:cubicBezTo>
                <a:pt x="433376" y="169294"/>
                <a:pt x="434329" y="173732"/>
                <a:pt x="435429" y="178130"/>
              </a:cubicBezTo>
              <a:cubicBezTo>
                <a:pt x="436528" y="186926"/>
                <a:pt x="437141" y="195797"/>
                <a:pt x="438727" y="204519"/>
              </a:cubicBezTo>
              <a:cubicBezTo>
                <a:pt x="439349" y="207940"/>
                <a:pt x="441071" y="211072"/>
                <a:pt x="442026" y="214415"/>
              </a:cubicBezTo>
              <a:cubicBezTo>
                <a:pt x="443272" y="218774"/>
                <a:pt x="444342" y="223184"/>
                <a:pt x="445325" y="227610"/>
              </a:cubicBezTo>
              <a:cubicBezTo>
                <a:pt x="446541" y="233083"/>
                <a:pt x="447148" y="238695"/>
                <a:pt x="448623" y="244104"/>
              </a:cubicBezTo>
              <a:cubicBezTo>
                <a:pt x="450453" y="250813"/>
                <a:pt x="455221" y="263896"/>
                <a:pt x="455221" y="263896"/>
              </a:cubicBezTo>
              <a:cubicBezTo>
                <a:pt x="448950" y="194923"/>
                <a:pt x="455442" y="252031"/>
                <a:pt x="448623" y="211117"/>
              </a:cubicBezTo>
              <a:cubicBezTo>
                <a:pt x="447102" y="201993"/>
                <a:pt x="446769" y="187616"/>
                <a:pt x="442026" y="178130"/>
              </a:cubicBezTo>
              <a:cubicBezTo>
                <a:pt x="435630" y="165337"/>
                <a:pt x="436721" y="171280"/>
                <a:pt x="428831" y="161636"/>
              </a:cubicBezTo>
              <a:cubicBezTo>
                <a:pt x="420892" y="151933"/>
                <a:pt x="411346" y="143162"/>
                <a:pt x="405740" y="131948"/>
              </a:cubicBezTo>
              <a:cubicBezTo>
                <a:pt x="391970" y="104406"/>
                <a:pt x="408175" y="133340"/>
                <a:pt x="385948" y="105558"/>
              </a:cubicBezTo>
              <a:cubicBezTo>
                <a:pt x="383309" y="102259"/>
                <a:pt x="368806" y="82887"/>
                <a:pt x="362857" y="79169"/>
              </a:cubicBezTo>
              <a:cubicBezTo>
                <a:pt x="357836" y="76031"/>
                <a:pt x="351775" y="74976"/>
                <a:pt x="346364" y="72571"/>
              </a:cubicBezTo>
              <a:cubicBezTo>
                <a:pt x="341870" y="70574"/>
                <a:pt x="337913" y="67268"/>
                <a:pt x="333169" y="65974"/>
              </a:cubicBezTo>
              <a:cubicBezTo>
                <a:pt x="325668" y="63928"/>
                <a:pt x="317763" y="63857"/>
                <a:pt x="310078" y="62675"/>
              </a:cubicBezTo>
              <a:cubicBezTo>
                <a:pt x="303467" y="61658"/>
                <a:pt x="296883" y="60476"/>
                <a:pt x="290286" y="59376"/>
              </a:cubicBezTo>
              <a:cubicBezTo>
                <a:pt x="282589" y="56077"/>
                <a:pt x="275081" y="52296"/>
                <a:pt x="267195" y="49480"/>
              </a:cubicBezTo>
              <a:cubicBezTo>
                <a:pt x="255479" y="45296"/>
                <a:pt x="240210" y="41684"/>
                <a:pt x="227610" y="39584"/>
              </a:cubicBezTo>
              <a:cubicBezTo>
                <a:pt x="219941" y="38306"/>
                <a:pt x="212216" y="37385"/>
                <a:pt x="204519" y="36285"/>
              </a:cubicBezTo>
              <a:cubicBezTo>
                <a:pt x="184166" y="37739"/>
                <a:pt x="159475" y="38053"/>
                <a:pt x="138545" y="42883"/>
              </a:cubicBezTo>
              <a:cubicBezTo>
                <a:pt x="124716" y="46074"/>
                <a:pt x="109193" y="51567"/>
                <a:pt x="95662" y="56078"/>
              </a:cubicBezTo>
              <a:cubicBezTo>
                <a:pt x="91264" y="59377"/>
                <a:pt x="87274" y="63304"/>
                <a:pt x="82468" y="65974"/>
              </a:cubicBezTo>
              <a:cubicBezTo>
                <a:pt x="77292" y="68850"/>
                <a:pt x="70793" y="69129"/>
                <a:pt x="65974" y="72571"/>
              </a:cubicBezTo>
              <a:cubicBezTo>
                <a:pt x="62748" y="74875"/>
                <a:pt x="62180" y="79664"/>
                <a:pt x="59377" y="82467"/>
              </a:cubicBezTo>
              <a:cubicBezTo>
                <a:pt x="55489" y="86355"/>
                <a:pt x="50580" y="89064"/>
                <a:pt x="46182" y="92363"/>
              </a:cubicBezTo>
              <a:cubicBezTo>
                <a:pt x="30354" y="124018"/>
                <a:pt x="50410" y="84750"/>
                <a:pt x="29688" y="122052"/>
              </a:cubicBezTo>
              <a:cubicBezTo>
                <a:pt x="27300" y="126351"/>
                <a:pt x="25290" y="130849"/>
                <a:pt x="23091" y="135247"/>
              </a:cubicBezTo>
              <a:cubicBezTo>
                <a:pt x="21991" y="140745"/>
                <a:pt x="21008" y="146267"/>
                <a:pt x="19792" y="151740"/>
              </a:cubicBezTo>
              <a:cubicBezTo>
                <a:pt x="18809" y="156166"/>
                <a:pt x="16494" y="160401"/>
                <a:pt x="16494" y="164935"/>
              </a:cubicBezTo>
              <a:cubicBezTo>
                <a:pt x="16494" y="175588"/>
                <a:pt x="21002" y="179944"/>
                <a:pt x="26390" y="188026"/>
              </a:cubicBezTo>
              <a:cubicBezTo>
                <a:pt x="34563" y="212549"/>
                <a:pt x="25759" y="183613"/>
                <a:pt x="32987" y="234208"/>
              </a:cubicBezTo>
              <a:cubicBezTo>
                <a:pt x="33479" y="237650"/>
                <a:pt x="35186" y="240805"/>
                <a:pt x="36286" y="244104"/>
              </a:cubicBezTo>
              <a:cubicBezTo>
                <a:pt x="37385" y="251801"/>
                <a:pt x="38059" y="259571"/>
                <a:pt x="39584" y="267195"/>
              </a:cubicBezTo>
              <a:cubicBezTo>
                <a:pt x="52313" y="330841"/>
                <a:pt x="41259" y="259128"/>
                <a:pt x="49481" y="316675"/>
              </a:cubicBezTo>
              <a:cubicBezTo>
                <a:pt x="58945" y="288281"/>
                <a:pt x="57765" y="303629"/>
                <a:pt x="49481" y="270493"/>
              </a:cubicBezTo>
              <a:lnTo>
                <a:pt x="46182" y="257298"/>
              </a:lnTo>
              <a:lnTo>
                <a:pt x="42883" y="244104"/>
              </a:lnTo>
              <a:cubicBezTo>
                <a:pt x="43618" y="233085"/>
                <a:pt x="46300" y="181901"/>
                <a:pt x="49481" y="164935"/>
              </a:cubicBezTo>
              <a:cubicBezTo>
                <a:pt x="50956" y="157067"/>
                <a:pt x="54137" y="149610"/>
                <a:pt x="56078" y="141844"/>
              </a:cubicBezTo>
              <a:cubicBezTo>
                <a:pt x="57090" y="137797"/>
                <a:pt x="59446" y="120836"/>
                <a:pt x="62675" y="115454"/>
              </a:cubicBezTo>
              <a:cubicBezTo>
                <a:pt x="64275" y="112787"/>
                <a:pt x="66246" y="109569"/>
                <a:pt x="69273" y="108857"/>
              </a:cubicBezTo>
              <a:cubicBezTo>
                <a:pt x="85470" y="105046"/>
                <a:pt x="102260" y="104459"/>
                <a:pt x="118753" y="102260"/>
              </a:cubicBezTo>
              <a:lnTo>
                <a:pt x="204519" y="65974"/>
              </a:lnTo>
              <a:cubicBezTo>
                <a:pt x="236214" y="52268"/>
                <a:pt x="266615" y="35340"/>
                <a:pt x="300182" y="26389"/>
              </a:cubicBezTo>
              <a:cubicBezTo>
                <a:pt x="306644" y="24666"/>
                <a:pt x="313377" y="24190"/>
                <a:pt x="319974" y="23091"/>
              </a:cubicBezTo>
              <a:cubicBezTo>
                <a:pt x="326058" y="23598"/>
                <a:pt x="359731" y="24262"/>
                <a:pt x="372753" y="29688"/>
              </a:cubicBezTo>
              <a:cubicBezTo>
                <a:pt x="418421" y="48716"/>
                <a:pt x="382584" y="38743"/>
                <a:pt x="412338" y="46182"/>
              </a:cubicBezTo>
              <a:cubicBezTo>
                <a:pt x="415637" y="48381"/>
                <a:pt x="419757" y="49683"/>
                <a:pt x="422234" y="52779"/>
              </a:cubicBezTo>
              <a:cubicBezTo>
                <a:pt x="424406" y="55494"/>
                <a:pt x="425003" y="59238"/>
                <a:pt x="425532" y="62675"/>
              </a:cubicBezTo>
              <a:cubicBezTo>
                <a:pt x="427089" y="72799"/>
                <a:pt x="427830" y="99257"/>
                <a:pt x="432130" y="112156"/>
              </a:cubicBezTo>
              <a:cubicBezTo>
                <a:pt x="434778" y="120100"/>
                <a:pt x="438441" y="127679"/>
                <a:pt x="442026" y="135247"/>
              </a:cubicBezTo>
              <a:cubicBezTo>
                <a:pt x="448341" y="148579"/>
                <a:pt x="457153" y="160836"/>
                <a:pt x="461818" y="174831"/>
              </a:cubicBezTo>
              <a:cubicBezTo>
                <a:pt x="466692" y="189450"/>
                <a:pt x="468896" y="197354"/>
                <a:pt x="475013" y="211117"/>
              </a:cubicBezTo>
              <a:cubicBezTo>
                <a:pt x="484870" y="233297"/>
                <a:pt x="479281" y="214994"/>
                <a:pt x="484909" y="237506"/>
              </a:cubicBezTo>
              <a:cubicBezTo>
                <a:pt x="486009" y="234207"/>
                <a:pt x="488208" y="231087"/>
                <a:pt x="488208" y="227610"/>
              </a:cubicBezTo>
              <a:cubicBezTo>
                <a:pt x="488208" y="223076"/>
                <a:pt x="486155" y="218774"/>
                <a:pt x="484909" y="214415"/>
              </a:cubicBezTo>
              <a:cubicBezTo>
                <a:pt x="482763" y="206904"/>
                <a:pt x="480795" y="200405"/>
                <a:pt x="475013" y="194623"/>
              </a:cubicBezTo>
              <a:cubicBezTo>
                <a:pt x="460530" y="180140"/>
                <a:pt x="465034" y="189369"/>
                <a:pt x="451922" y="178130"/>
              </a:cubicBezTo>
              <a:cubicBezTo>
                <a:pt x="434858" y="163504"/>
                <a:pt x="437398" y="160307"/>
                <a:pt x="418935" y="141844"/>
              </a:cubicBezTo>
              <a:cubicBezTo>
                <a:pt x="383747" y="106655"/>
                <a:pt x="413747" y="143841"/>
                <a:pt x="382649" y="108857"/>
              </a:cubicBezTo>
              <a:cubicBezTo>
                <a:pt x="378996" y="104748"/>
                <a:pt x="376451" y="99730"/>
                <a:pt x="372753" y="95662"/>
              </a:cubicBezTo>
              <a:cubicBezTo>
                <a:pt x="365431" y="87608"/>
                <a:pt x="355700" y="81628"/>
                <a:pt x="349662" y="72571"/>
              </a:cubicBezTo>
              <a:cubicBezTo>
                <a:pt x="347463" y="69272"/>
                <a:pt x="346111" y="65213"/>
                <a:pt x="343065" y="62675"/>
              </a:cubicBezTo>
              <a:cubicBezTo>
                <a:pt x="339287" y="59527"/>
                <a:pt x="334268" y="58277"/>
                <a:pt x="329870" y="56078"/>
              </a:cubicBezTo>
              <a:lnTo>
                <a:pt x="267195" y="59376"/>
              </a:lnTo>
              <a:cubicBezTo>
                <a:pt x="199034" y="64077"/>
                <a:pt x="266315" y="60888"/>
                <a:pt x="207818" y="65974"/>
              </a:cubicBezTo>
              <a:cubicBezTo>
                <a:pt x="191350" y="67406"/>
                <a:pt x="174831" y="68173"/>
                <a:pt x="158338" y="69272"/>
              </a:cubicBezTo>
              <a:cubicBezTo>
                <a:pt x="141038" y="71744"/>
                <a:pt x="132239" y="72818"/>
                <a:pt x="115455" y="75870"/>
              </a:cubicBezTo>
              <a:cubicBezTo>
                <a:pt x="109939" y="76873"/>
                <a:pt x="104331" y="77558"/>
                <a:pt x="98961" y="79169"/>
              </a:cubicBezTo>
              <a:cubicBezTo>
                <a:pt x="81244" y="84484"/>
                <a:pt x="80757" y="88128"/>
                <a:pt x="62675" y="95662"/>
              </a:cubicBezTo>
              <a:cubicBezTo>
                <a:pt x="56256" y="98337"/>
                <a:pt x="49254" y="99473"/>
                <a:pt x="42883" y="102260"/>
              </a:cubicBezTo>
              <a:cubicBezTo>
                <a:pt x="31620" y="107187"/>
                <a:pt x="9896" y="118753"/>
                <a:pt x="9896" y="118753"/>
              </a:cubicBezTo>
              <a:cubicBezTo>
                <a:pt x="6561" y="123756"/>
                <a:pt x="0" y="131718"/>
                <a:pt x="0" y="138545"/>
              </a:cubicBezTo>
              <a:cubicBezTo>
                <a:pt x="0" y="147187"/>
                <a:pt x="3124" y="167711"/>
                <a:pt x="6597" y="178130"/>
              </a:cubicBezTo>
              <a:cubicBezTo>
                <a:pt x="8469" y="183747"/>
                <a:pt x="10996" y="189125"/>
                <a:pt x="13195" y="194623"/>
              </a:cubicBezTo>
              <a:cubicBezTo>
                <a:pt x="14295" y="204519"/>
                <a:pt x="14408" y="214575"/>
                <a:pt x="16494" y="224311"/>
              </a:cubicBezTo>
              <a:cubicBezTo>
                <a:pt x="17735" y="230101"/>
                <a:pt x="21350" y="235145"/>
                <a:pt x="23091" y="240805"/>
              </a:cubicBezTo>
              <a:cubicBezTo>
                <a:pt x="25757" y="249471"/>
                <a:pt x="27910" y="258304"/>
                <a:pt x="29688" y="267195"/>
              </a:cubicBezTo>
              <a:cubicBezTo>
                <a:pt x="30788" y="272693"/>
                <a:pt x="31984" y="278172"/>
                <a:pt x="32987" y="283688"/>
              </a:cubicBezTo>
              <a:cubicBezTo>
                <a:pt x="34944" y="294453"/>
                <a:pt x="36872" y="309125"/>
                <a:pt x="39584" y="319974"/>
              </a:cubicBezTo>
              <a:cubicBezTo>
                <a:pt x="45960" y="345479"/>
                <a:pt x="40099" y="309868"/>
                <a:pt x="46182" y="346363"/>
              </a:cubicBezTo>
              <a:cubicBezTo>
                <a:pt x="53592" y="390818"/>
                <a:pt x="45480" y="349102"/>
                <a:pt x="52779" y="389247"/>
              </a:cubicBezTo>
              <a:cubicBezTo>
                <a:pt x="53782" y="394763"/>
                <a:pt x="54718" y="400301"/>
                <a:pt x="56078" y="405740"/>
              </a:cubicBezTo>
              <a:cubicBezTo>
                <a:pt x="56921" y="409113"/>
                <a:pt x="62854" y="415636"/>
                <a:pt x="59377" y="415636"/>
              </a:cubicBezTo>
              <a:cubicBezTo>
                <a:pt x="55412" y="415636"/>
                <a:pt x="54978" y="409039"/>
                <a:pt x="52779" y="405740"/>
              </a:cubicBezTo>
              <a:cubicBezTo>
                <a:pt x="51680" y="387047"/>
                <a:pt x="51344" y="368294"/>
                <a:pt x="49481" y="349662"/>
              </a:cubicBezTo>
              <a:cubicBezTo>
                <a:pt x="49135" y="346202"/>
                <a:pt x="47137" y="343109"/>
                <a:pt x="46182" y="339766"/>
              </a:cubicBezTo>
              <a:cubicBezTo>
                <a:pt x="44936" y="335407"/>
                <a:pt x="43983" y="330969"/>
                <a:pt x="42883" y="326571"/>
              </a:cubicBezTo>
              <a:cubicBezTo>
                <a:pt x="34637" y="252364"/>
                <a:pt x="35417" y="271244"/>
                <a:pt x="42883" y="141844"/>
              </a:cubicBezTo>
              <a:cubicBezTo>
                <a:pt x="43224" y="135932"/>
                <a:pt x="46833" y="130646"/>
                <a:pt x="49481" y="125350"/>
              </a:cubicBezTo>
              <a:cubicBezTo>
                <a:pt x="51254" y="121804"/>
                <a:pt x="53275" y="118257"/>
                <a:pt x="56078" y="115454"/>
              </a:cubicBezTo>
              <a:cubicBezTo>
                <a:pt x="64765" y="106767"/>
                <a:pt x="74484" y="107011"/>
                <a:pt x="85766" y="102260"/>
              </a:cubicBezTo>
              <a:cubicBezTo>
                <a:pt x="100276" y="96151"/>
                <a:pt x="114063" y="88393"/>
                <a:pt x="128649" y="82467"/>
              </a:cubicBezTo>
              <a:cubicBezTo>
                <a:pt x="149277" y="74087"/>
                <a:pt x="170094" y="66081"/>
                <a:pt x="191325" y="59376"/>
              </a:cubicBezTo>
              <a:cubicBezTo>
                <a:pt x="222118" y="49652"/>
                <a:pt x="270305" y="38516"/>
                <a:pt x="303481" y="32987"/>
              </a:cubicBezTo>
              <a:cubicBezTo>
                <a:pt x="313302" y="31350"/>
                <a:pt x="323289" y="30923"/>
                <a:pt x="333169" y="29688"/>
              </a:cubicBezTo>
              <a:cubicBezTo>
                <a:pt x="340884" y="28724"/>
                <a:pt x="348563" y="27489"/>
                <a:pt x="356260" y="26389"/>
              </a:cubicBezTo>
              <a:cubicBezTo>
                <a:pt x="408448" y="33845"/>
                <a:pt x="363117" y="20095"/>
                <a:pt x="382649" y="42883"/>
              </a:cubicBezTo>
              <a:cubicBezTo>
                <a:pt x="392934" y="54882"/>
                <a:pt x="398045" y="50581"/>
                <a:pt x="409039" y="56078"/>
              </a:cubicBezTo>
              <a:cubicBezTo>
                <a:pt x="412585" y="57851"/>
                <a:pt x="415636" y="60476"/>
                <a:pt x="418935" y="62675"/>
              </a:cubicBezTo>
              <a:cubicBezTo>
                <a:pt x="421134" y="65974"/>
                <a:pt x="423055" y="69475"/>
                <a:pt x="425532" y="72571"/>
              </a:cubicBezTo>
              <a:cubicBezTo>
                <a:pt x="427475" y="75000"/>
                <a:pt x="430405" y="76581"/>
                <a:pt x="432130" y="79169"/>
              </a:cubicBezTo>
              <a:cubicBezTo>
                <a:pt x="434858" y="83260"/>
                <a:pt x="436528" y="87965"/>
                <a:pt x="438727" y="92363"/>
              </a:cubicBezTo>
              <a:cubicBezTo>
                <a:pt x="439827" y="97861"/>
                <a:pt x="440057" y="103607"/>
                <a:pt x="442026" y="108857"/>
              </a:cubicBezTo>
              <a:cubicBezTo>
                <a:pt x="443418" y="112569"/>
                <a:pt x="446725" y="115273"/>
                <a:pt x="448623" y="118753"/>
              </a:cubicBezTo>
              <a:cubicBezTo>
                <a:pt x="453332" y="127387"/>
                <a:pt x="457419" y="136346"/>
                <a:pt x="461818" y="145143"/>
              </a:cubicBezTo>
              <a:cubicBezTo>
                <a:pt x="461824" y="145154"/>
                <a:pt x="475009" y="171520"/>
                <a:pt x="475013" y="171532"/>
              </a:cubicBezTo>
              <a:cubicBezTo>
                <a:pt x="476113" y="174831"/>
                <a:pt x="476757" y="178318"/>
                <a:pt x="478312" y="181428"/>
              </a:cubicBezTo>
              <a:cubicBezTo>
                <a:pt x="482473" y="189750"/>
                <a:pt x="485370" y="191785"/>
                <a:pt x="491506" y="197922"/>
              </a:cubicBezTo>
              <a:lnTo>
                <a:pt x="498104" y="217714"/>
              </a:lnTo>
              <a:cubicBezTo>
                <a:pt x="499204" y="221013"/>
                <a:pt x="498944" y="225151"/>
                <a:pt x="501403" y="227610"/>
              </a:cubicBezTo>
              <a:cubicBezTo>
                <a:pt x="503602" y="229809"/>
                <a:pt x="506275" y="231620"/>
                <a:pt x="508000" y="234208"/>
              </a:cubicBezTo>
              <a:cubicBezTo>
                <a:pt x="510727" y="238299"/>
                <a:pt x="512660" y="242882"/>
                <a:pt x="514597" y="247402"/>
              </a:cubicBezTo>
              <a:cubicBezTo>
                <a:pt x="515967" y="250598"/>
                <a:pt x="520355" y="259757"/>
                <a:pt x="517896" y="257298"/>
              </a:cubicBezTo>
              <a:cubicBezTo>
                <a:pt x="512289" y="251691"/>
                <a:pt x="504701" y="237506"/>
                <a:pt x="504701" y="237506"/>
              </a:cubicBezTo>
              <a:cubicBezTo>
                <a:pt x="497057" y="206922"/>
                <a:pt x="507133" y="243178"/>
                <a:pt x="484909" y="191324"/>
              </a:cubicBezTo>
              <a:cubicBezTo>
                <a:pt x="481610" y="183627"/>
                <a:pt x="479168" y="175504"/>
                <a:pt x="475013" y="168234"/>
              </a:cubicBezTo>
              <a:cubicBezTo>
                <a:pt x="470320" y="160021"/>
                <a:pt x="463570" y="153140"/>
                <a:pt x="458519" y="145143"/>
              </a:cubicBezTo>
              <a:cubicBezTo>
                <a:pt x="450362" y="132227"/>
                <a:pt x="443903" y="118268"/>
                <a:pt x="435429" y="105558"/>
              </a:cubicBezTo>
              <a:cubicBezTo>
                <a:pt x="433230" y="102259"/>
                <a:pt x="431210" y="98834"/>
                <a:pt x="428831" y="95662"/>
              </a:cubicBezTo>
              <a:cubicBezTo>
                <a:pt x="424606" y="90030"/>
                <a:pt x="419860" y="84802"/>
                <a:pt x="415636" y="79169"/>
              </a:cubicBezTo>
              <a:cubicBezTo>
                <a:pt x="413257" y="75997"/>
                <a:pt x="411842" y="72076"/>
                <a:pt x="409039" y="69272"/>
              </a:cubicBezTo>
              <a:cubicBezTo>
                <a:pt x="404948" y="65180"/>
                <a:pt x="391567" y="56525"/>
                <a:pt x="385948" y="52779"/>
              </a:cubicBezTo>
              <a:cubicBezTo>
                <a:pt x="282427" y="57956"/>
                <a:pt x="356543" y="53518"/>
                <a:pt x="280390" y="59376"/>
              </a:cubicBezTo>
              <a:lnTo>
                <a:pt x="194623" y="65974"/>
              </a:lnTo>
              <a:cubicBezTo>
                <a:pt x="181350" y="67633"/>
                <a:pt x="168281" y="70679"/>
                <a:pt x="155039" y="72571"/>
              </a:cubicBezTo>
              <a:cubicBezTo>
                <a:pt x="145182" y="73979"/>
                <a:pt x="135247" y="74770"/>
                <a:pt x="125351" y="75870"/>
              </a:cubicBezTo>
              <a:cubicBezTo>
                <a:pt x="119853" y="78069"/>
                <a:pt x="114529" y="80765"/>
                <a:pt x="108857" y="82467"/>
              </a:cubicBezTo>
              <a:cubicBezTo>
                <a:pt x="103487" y="84078"/>
                <a:pt x="97837" y="84550"/>
                <a:pt x="92364" y="85766"/>
              </a:cubicBezTo>
              <a:cubicBezTo>
                <a:pt x="79941" y="88527"/>
                <a:pt x="80291" y="88691"/>
                <a:pt x="69273" y="92363"/>
              </a:cubicBezTo>
              <a:cubicBezTo>
                <a:pt x="70372" y="102259"/>
                <a:pt x="71163" y="112195"/>
                <a:pt x="72571" y="122052"/>
              </a:cubicBezTo>
              <a:cubicBezTo>
                <a:pt x="73364" y="127602"/>
                <a:pt x="75870" y="132938"/>
                <a:pt x="75870" y="138545"/>
              </a:cubicBezTo>
              <a:cubicBezTo>
                <a:pt x="75870" y="178145"/>
                <a:pt x="74369" y="217739"/>
                <a:pt x="72571" y="257298"/>
              </a:cubicBezTo>
              <a:cubicBezTo>
                <a:pt x="72168" y="266154"/>
                <a:pt x="70527" y="274912"/>
                <a:pt x="69273" y="283688"/>
              </a:cubicBezTo>
              <a:cubicBezTo>
                <a:pt x="67164" y="298452"/>
                <a:pt x="65515" y="305773"/>
                <a:pt x="62675" y="319974"/>
              </a:cubicBezTo>
              <a:cubicBezTo>
                <a:pt x="63775" y="350762"/>
                <a:pt x="56231" y="383111"/>
                <a:pt x="65974" y="412337"/>
              </a:cubicBezTo>
              <a:cubicBezTo>
                <a:pt x="73632" y="435309"/>
                <a:pt x="67763" y="363934"/>
                <a:pt x="69273" y="339766"/>
              </a:cubicBezTo>
              <a:cubicBezTo>
                <a:pt x="69962" y="328737"/>
                <a:pt x="71472" y="317775"/>
                <a:pt x="72571" y="306779"/>
              </a:cubicBezTo>
              <a:cubicBezTo>
                <a:pt x="73671" y="267195"/>
                <a:pt x="73892" y="227576"/>
                <a:pt x="75870" y="188026"/>
              </a:cubicBezTo>
              <a:cubicBezTo>
                <a:pt x="76397" y="177478"/>
                <a:pt x="92228" y="142116"/>
                <a:pt x="92364" y="141844"/>
              </a:cubicBezTo>
              <a:cubicBezTo>
                <a:pt x="96762" y="133047"/>
                <a:pt x="103172" y="124995"/>
                <a:pt x="105558" y="115454"/>
              </a:cubicBezTo>
              <a:cubicBezTo>
                <a:pt x="110050" y="97489"/>
                <a:pt x="106829" y="106315"/>
                <a:pt x="115455" y="89065"/>
              </a:cubicBezTo>
              <a:cubicBezTo>
                <a:pt x="122319" y="61602"/>
                <a:pt x="113960" y="88756"/>
                <a:pt x="125351" y="65974"/>
              </a:cubicBezTo>
              <a:cubicBezTo>
                <a:pt x="130314" y="56048"/>
                <a:pt x="125581" y="55924"/>
                <a:pt x="135247" y="49480"/>
              </a:cubicBezTo>
              <a:cubicBezTo>
                <a:pt x="139339" y="46752"/>
                <a:pt x="144044" y="45082"/>
                <a:pt x="148442" y="42883"/>
              </a:cubicBezTo>
              <a:cubicBezTo>
                <a:pt x="160646" y="30677"/>
                <a:pt x="152449" y="38012"/>
                <a:pt x="174831" y="23091"/>
              </a:cubicBezTo>
              <a:lnTo>
                <a:pt x="184727" y="16493"/>
              </a:lnTo>
              <a:cubicBezTo>
                <a:pt x="172632" y="15394"/>
                <a:pt x="160120" y="16531"/>
                <a:pt x="148442" y="13195"/>
              </a:cubicBezTo>
              <a:cubicBezTo>
                <a:pt x="144083" y="11950"/>
                <a:pt x="157391" y="11488"/>
                <a:pt x="161636" y="9896"/>
              </a:cubicBezTo>
              <a:cubicBezTo>
                <a:pt x="196122" y="-3038"/>
                <a:pt x="154170" y="8462"/>
                <a:pt x="188026" y="0"/>
              </a:cubicBezTo>
              <a:lnTo>
                <a:pt x="293584" y="3298"/>
              </a:lnTo>
              <a:cubicBezTo>
                <a:pt x="321113" y="4578"/>
                <a:pt x="328410" y="6622"/>
                <a:pt x="352961" y="9896"/>
              </a:cubicBezTo>
              <a:lnTo>
                <a:pt x="379351" y="13195"/>
              </a:lnTo>
              <a:cubicBezTo>
                <a:pt x="373217" y="43859"/>
                <a:pt x="371627" y="43141"/>
                <a:pt x="382649" y="89065"/>
              </a:cubicBezTo>
              <a:cubicBezTo>
                <a:pt x="384381" y="96282"/>
                <a:pt x="414222" y="139931"/>
                <a:pt x="415636" y="141844"/>
              </a:cubicBezTo>
              <a:cubicBezTo>
                <a:pt x="427273" y="157588"/>
                <a:pt x="441849" y="171239"/>
                <a:pt x="451922" y="188026"/>
              </a:cubicBezTo>
              <a:cubicBezTo>
                <a:pt x="455221" y="193524"/>
                <a:pt x="457813" y="199513"/>
                <a:pt x="461818" y="204519"/>
              </a:cubicBezTo>
              <a:cubicBezTo>
                <a:pt x="466675" y="210590"/>
                <a:pt x="473999" y="214543"/>
                <a:pt x="478312" y="221013"/>
              </a:cubicBezTo>
              <a:cubicBezTo>
                <a:pt x="482710" y="227610"/>
                <a:pt x="485899" y="235199"/>
                <a:pt x="491506" y="240805"/>
              </a:cubicBezTo>
              <a:cubicBezTo>
                <a:pt x="498882" y="248180"/>
                <a:pt x="498104" y="244292"/>
                <a:pt x="498104" y="25070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409039</xdr:colOff>
      <xdr:row>56</xdr:row>
      <xdr:rowOff>184726</xdr:rowOff>
    </xdr:from>
    <xdr:to>
      <xdr:col>6</xdr:col>
      <xdr:colOff>402440</xdr:colOff>
      <xdr:row>58</xdr:row>
      <xdr:rowOff>59376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63A7B108-E3FE-DF8E-08EF-114FE017CFC0}"/>
            </a:ext>
          </a:extLst>
        </xdr:cNvPr>
        <xdr:cNvSpPr/>
      </xdr:nvSpPr>
      <xdr:spPr>
        <a:xfrm rot="16200000">
          <a:off x="13506809558" y="10140208"/>
          <a:ext cx="283689" cy="1642752"/>
        </a:xfrm>
        <a:prstGeom prst="leftBrac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758702</xdr:colOff>
      <xdr:row>58</xdr:row>
      <xdr:rowOff>120071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70A13EC-B8E0-7B99-8DB0-73D152C588B7}"/>
                </a:ext>
              </a:extLst>
            </xdr:cNvPr>
            <xdr:cNvSpPr txBox="1"/>
          </xdr:nvSpPr>
          <xdr:spPr>
            <a:xfrm>
              <a:off x="13506493247" y="11164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070A13EC-B8E0-7B99-8DB0-73D152C588B7}"/>
                </a:ext>
              </a:extLst>
            </xdr:cNvPr>
            <xdr:cNvSpPr txBox="1"/>
          </xdr:nvSpPr>
          <xdr:spPr>
            <a:xfrm>
              <a:off x="13506493247" y="11164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𝑃𝑀𝑇=5,000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771897</xdr:colOff>
      <xdr:row>59</xdr:row>
      <xdr:rowOff>169552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32A4A23-B62C-07D7-D498-87595E9F9EE2}"/>
                </a:ext>
              </a:extLst>
            </xdr:cNvPr>
            <xdr:cNvSpPr txBox="1"/>
          </xdr:nvSpPr>
          <xdr:spPr>
            <a:xfrm>
              <a:off x="13506480052" y="11418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832A4A23-B62C-07D7-D498-87595E9F9EE2}"/>
                </a:ext>
              </a:extLst>
            </xdr:cNvPr>
            <xdr:cNvSpPr txBox="1"/>
          </xdr:nvSpPr>
          <xdr:spPr>
            <a:xfrm>
              <a:off x="13506480052" y="11418123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𝑛=84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775196</xdr:colOff>
      <xdr:row>60</xdr:row>
      <xdr:rowOff>176148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C4AC08FE-E2D1-9680-3193-F279D1328F62}"/>
                </a:ext>
              </a:extLst>
            </xdr:cNvPr>
            <xdr:cNvSpPr txBox="1"/>
          </xdr:nvSpPr>
          <xdr:spPr>
            <a:xfrm>
              <a:off x="13506476753" y="1162923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C4AC08FE-E2D1-9680-3193-F279D1328F62}"/>
                </a:ext>
              </a:extLst>
            </xdr:cNvPr>
            <xdr:cNvSpPr txBox="1"/>
          </xdr:nvSpPr>
          <xdr:spPr>
            <a:xfrm>
              <a:off x="13506476753" y="1162923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771897</xdr:colOff>
      <xdr:row>62</xdr:row>
      <xdr:rowOff>17810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C1633FB-B696-E480-9921-9720EE40A3CD}"/>
                </a:ext>
              </a:extLst>
            </xdr:cNvPr>
            <xdr:cNvSpPr txBox="1"/>
          </xdr:nvSpPr>
          <xdr:spPr>
            <a:xfrm>
              <a:off x="13506480052" y="11879940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C1633FB-B696-E480-9921-9720EE40A3CD}"/>
                </a:ext>
              </a:extLst>
            </xdr:cNvPr>
            <xdr:cNvSpPr txBox="1"/>
          </xdr:nvSpPr>
          <xdr:spPr>
            <a:xfrm>
              <a:off x="13506480052" y="11879940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359558</xdr:colOff>
      <xdr:row>56</xdr:row>
      <xdr:rowOff>188025</xdr:rowOff>
    </xdr:from>
    <xdr:to>
      <xdr:col>4</xdr:col>
      <xdr:colOff>9895</xdr:colOff>
      <xdr:row>58</xdr:row>
      <xdr:rowOff>59375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106DCCFB-7712-EC51-7560-62DDF286F9D0}"/>
            </a:ext>
          </a:extLst>
        </xdr:cNvPr>
        <xdr:cNvSpPr/>
      </xdr:nvSpPr>
      <xdr:spPr>
        <a:xfrm rot="16200000">
          <a:off x="13509093910" y="9901051"/>
          <a:ext cx="280389" cy="2124363"/>
        </a:xfrm>
        <a:prstGeom prst="leftBrac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75870</xdr:colOff>
      <xdr:row>58</xdr:row>
      <xdr:rowOff>123369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B8D5459A-E530-0B29-D3F9-77DC0C1290A3}"/>
                </a:ext>
              </a:extLst>
            </xdr:cNvPr>
            <xdr:cNvSpPr txBox="1"/>
          </xdr:nvSpPr>
          <xdr:spPr>
            <a:xfrm>
              <a:off x="13508825429" y="1116742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B8D5459A-E530-0B29-D3F9-77DC0C1290A3}"/>
                </a:ext>
              </a:extLst>
            </xdr:cNvPr>
            <xdr:cNvSpPr txBox="1"/>
          </xdr:nvSpPr>
          <xdr:spPr>
            <a:xfrm>
              <a:off x="13508825429" y="1116742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𝑃𝑀𝑇=8,000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65974</xdr:colOff>
      <xdr:row>59</xdr:row>
      <xdr:rowOff>149760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CEBB731-EB60-7967-6646-010A4C8C0E21}"/>
                </a:ext>
              </a:extLst>
            </xdr:cNvPr>
            <xdr:cNvSpPr txBox="1"/>
          </xdr:nvSpPr>
          <xdr:spPr>
            <a:xfrm>
              <a:off x="13508835325" y="1139833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6CEBB731-EB60-7967-6646-010A4C8C0E21}"/>
                </a:ext>
              </a:extLst>
            </xdr:cNvPr>
            <xdr:cNvSpPr txBox="1"/>
          </xdr:nvSpPr>
          <xdr:spPr>
            <a:xfrm>
              <a:off x="13508835325" y="11398331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𝑛=120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75870</xdr:colOff>
      <xdr:row>60</xdr:row>
      <xdr:rowOff>149758</xdr:rowOff>
    </xdr:from>
    <xdr:ext cx="929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B60B24D-E2AF-8855-AED7-AADDEE12FD9B}"/>
                </a:ext>
              </a:extLst>
            </xdr:cNvPr>
            <xdr:cNvSpPr txBox="1"/>
          </xdr:nvSpPr>
          <xdr:spPr>
            <a:xfrm>
              <a:off x="13508825429" y="1160284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%=0.4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B60B24D-E2AF-8855-AED7-AADDEE12FD9B}"/>
                </a:ext>
              </a:extLst>
            </xdr:cNvPr>
            <xdr:cNvSpPr txBox="1"/>
          </xdr:nvSpPr>
          <xdr:spPr>
            <a:xfrm>
              <a:off x="13508825429" y="11602849"/>
              <a:ext cx="929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𝐼%=0.4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745506</xdr:colOff>
      <xdr:row>61</xdr:row>
      <xdr:rowOff>169550</xdr:rowOff>
    </xdr:from>
    <xdr:ext cx="1233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6B2FB25-1F53-38EE-9C03-EF6C08215CA1}"/>
                </a:ext>
              </a:extLst>
            </xdr:cNvPr>
            <xdr:cNvSpPr txBox="1"/>
          </xdr:nvSpPr>
          <xdr:spPr>
            <a:xfrm>
              <a:off x="13508676988" y="11827160"/>
              <a:ext cx="1233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=3,000,000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6B2FB25-1F53-38EE-9C03-EF6C08215CA1}"/>
                </a:ext>
              </a:extLst>
            </xdr:cNvPr>
            <xdr:cNvSpPr txBox="1"/>
          </xdr:nvSpPr>
          <xdr:spPr>
            <a:xfrm>
              <a:off x="13508676988" y="11827160"/>
              <a:ext cx="1233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𝐹𝑉=3,000,000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152262</xdr:colOff>
      <xdr:row>55</xdr:row>
      <xdr:rowOff>86512</xdr:rowOff>
    </xdr:from>
    <xdr:to>
      <xdr:col>3</xdr:col>
      <xdr:colOff>574441</xdr:colOff>
      <xdr:row>56</xdr:row>
      <xdr:rowOff>114196</xdr:rowOff>
    </xdr:to>
    <xdr:sp macro="" textlink="">
      <xdr:nvSpPr>
        <xdr:cNvPr id="34" name="Rounded Rectangle 33">
          <a:extLst>
            <a:ext uri="{FF2B5EF4-FFF2-40B4-BE49-F238E27FC236}">
              <a16:creationId xmlns:a16="http://schemas.microsoft.com/office/drawing/2014/main" id="{2505E159-A4F9-BFFA-3BE9-B05FB52D3E76}"/>
            </a:ext>
          </a:extLst>
        </xdr:cNvPr>
        <xdr:cNvSpPr/>
      </xdr:nvSpPr>
      <xdr:spPr>
        <a:xfrm>
          <a:off x="13547449891" y="10499128"/>
          <a:ext cx="1249237" cy="2318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</a:t>
          </a:r>
          <a:r>
            <a:rPr lang="he-IL" sz="1100" baseline="0"/>
            <a:t> א</a:t>
          </a:r>
          <a:endParaRPr lang="en-US" sz="1100"/>
        </a:p>
      </xdr:txBody>
    </xdr:sp>
    <xdr:clientData/>
  </xdr:twoCellAnchor>
  <xdr:twoCellAnchor>
    <xdr:from>
      <xdr:col>4</xdr:col>
      <xdr:colOff>705940</xdr:colOff>
      <xdr:row>55</xdr:row>
      <xdr:rowOff>121116</xdr:rowOff>
    </xdr:from>
    <xdr:to>
      <xdr:col>6</xdr:col>
      <xdr:colOff>301063</xdr:colOff>
      <xdr:row>56</xdr:row>
      <xdr:rowOff>148800</xdr:rowOff>
    </xdr:to>
    <xdr:sp macro="" textlink="">
      <xdr:nvSpPr>
        <xdr:cNvPr id="35" name="Rounded Rectangle 34">
          <a:extLst>
            <a:ext uri="{FF2B5EF4-FFF2-40B4-BE49-F238E27FC236}">
              <a16:creationId xmlns:a16="http://schemas.microsoft.com/office/drawing/2014/main" id="{328E6C3F-566B-B212-F4DD-75EDBB78C3F4}"/>
            </a:ext>
          </a:extLst>
        </xdr:cNvPr>
        <xdr:cNvSpPr/>
      </xdr:nvSpPr>
      <xdr:spPr>
        <a:xfrm>
          <a:off x="13545242098" y="10533732"/>
          <a:ext cx="1249237" cy="2318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</a:t>
          </a:r>
          <a:r>
            <a:rPr lang="he-IL" sz="1100" baseline="0"/>
            <a:t> ב</a:t>
          </a:r>
          <a:endParaRPr lang="en-US" sz="1100"/>
        </a:p>
      </xdr:txBody>
    </xdr:sp>
    <xdr:clientData/>
  </xdr:twoCellAnchor>
  <xdr:twoCellAnchor>
    <xdr:from>
      <xdr:col>3</xdr:col>
      <xdr:colOff>797169</xdr:colOff>
      <xdr:row>58</xdr:row>
      <xdr:rowOff>3908</xdr:rowOff>
    </xdr:from>
    <xdr:to>
      <xdr:col>3</xdr:col>
      <xdr:colOff>804984</xdr:colOff>
      <xdr:row>63</xdr:row>
      <xdr:rowOff>15631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6C56FB5D-E13C-E16E-A1D3-E861B5005DF6}"/>
            </a:ext>
          </a:extLst>
        </xdr:cNvPr>
        <xdr:cNvCxnSpPr/>
      </xdr:nvCxnSpPr>
      <xdr:spPr>
        <a:xfrm flipH="1" flipV="1">
          <a:off x="13505707539" y="11789508"/>
          <a:ext cx="7815" cy="102772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790917</xdr:colOff>
      <xdr:row>63</xdr:row>
      <xdr:rowOff>18064</xdr:rowOff>
    </xdr:from>
    <xdr:to>
      <xdr:col>4</xdr:col>
      <xdr:colOff>359508</xdr:colOff>
      <xdr:row>63</xdr:row>
      <xdr:rowOff>19538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B7A69EDB-B961-8E15-C98B-793F579D36BA}"/>
            </a:ext>
          </a:extLst>
        </xdr:cNvPr>
        <xdr:cNvCxnSpPr/>
      </xdr:nvCxnSpPr>
      <xdr:spPr>
        <a:xfrm flipH="1">
          <a:off x="13505328492" y="12819664"/>
          <a:ext cx="393114" cy="14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359508</xdr:colOff>
      <xdr:row>58</xdr:row>
      <xdr:rowOff>15631</xdr:rowOff>
    </xdr:from>
    <xdr:to>
      <xdr:col>4</xdr:col>
      <xdr:colOff>380642</xdr:colOff>
      <xdr:row>63</xdr:row>
      <xdr:rowOff>31262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65C0DC25-1393-EE4D-B5D1-A62E2EF5DF70}"/>
            </a:ext>
          </a:extLst>
        </xdr:cNvPr>
        <xdr:cNvCxnSpPr/>
      </xdr:nvCxnSpPr>
      <xdr:spPr>
        <a:xfrm>
          <a:off x="13505307358" y="11801231"/>
          <a:ext cx="21134" cy="1031631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664308</xdr:colOff>
      <xdr:row>70</xdr:row>
      <xdr:rowOff>132862</xdr:rowOff>
    </xdr:from>
    <xdr:to>
      <xdr:col>5</xdr:col>
      <xdr:colOff>46893</xdr:colOff>
      <xdr:row>72</xdr:row>
      <xdr:rowOff>39077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228FD331-93A0-537B-2217-CF6EDBF96AE3}"/>
            </a:ext>
          </a:extLst>
        </xdr:cNvPr>
        <xdr:cNvCxnSpPr/>
      </xdr:nvCxnSpPr>
      <xdr:spPr>
        <a:xfrm flipH="1" flipV="1">
          <a:off x="13504816584" y="14356862"/>
          <a:ext cx="207108" cy="312615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730739</xdr:colOff>
      <xdr:row>69</xdr:row>
      <xdr:rowOff>109415</xdr:rowOff>
    </xdr:from>
    <xdr:to>
      <xdr:col>6</xdr:col>
      <xdr:colOff>54708</xdr:colOff>
      <xdr:row>70</xdr:row>
      <xdr:rowOff>70338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D4A21DD0-0C94-2502-4585-E8821EEB1F79}"/>
            </a:ext>
          </a:extLst>
        </xdr:cNvPr>
        <xdr:cNvSpPr/>
      </xdr:nvSpPr>
      <xdr:spPr>
        <a:xfrm>
          <a:off x="13503984246" y="141302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742462</xdr:colOff>
      <xdr:row>72</xdr:row>
      <xdr:rowOff>109415</xdr:rowOff>
    </xdr:from>
    <xdr:to>
      <xdr:col>5</xdr:col>
      <xdr:colOff>66431</xdr:colOff>
      <xdr:row>73</xdr:row>
      <xdr:rowOff>70338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B68B1BEC-F934-F9B1-7FD0-05DD307CB3F0}"/>
            </a:ext>
          </a:extLst>
        </xdr:cNvPr>
        <xdr:cNvSpPr/>
      </xdr:nvSpPr>
      <xdr:spPr>
        <a:xfrm>
          <a:off x="13504797046" y="147398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734646</xdr:colOff>
      <xdr:row>69</xdr:row>
      <xdr:rowOff>140677</xdr:rowOff>
    </xdr:from>
    <xdr:to>
      <xdr:col>4</xdr:col>
      <xdr:colOff>58615</xdr:colOff>
      <xdr:row>70</xdr:row>
      <xdr:rowOff>101600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F194C9D-0B6A-B4F0-E3C2-D359A674DE4C}"/>
            </a:ext>
          </a:extLst>
        </xdr:cNvPr>
        <xdr:cNvSpPr/>
      </xdr:nvSpPr>
      <xdr:spPr>
        <a:xfrm>
          <a:off x="13505629385" y="14161477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0</xdr:col>
      <xdr:colOff>226646</xdr:colOff>
      <xdr:row>65</xdr:row>
      <xdr:rowOff>15630</xdr:rowOff>
    </xdr:from>
    <xdr:to>
      <xdr:col>0</xdr:col>
      <xdr:colOff>375138</xdr:colOff>
      <xdr:row>65</xdr:row>
      <xdr:rowOff>179753</xdr:rowOff>
    </xdr:to>
    <xdr:sp macro="" textlink="">
      <xdr:nvSpPr>
        <xdr:cNvPr id="54" name="Oval 53">
          <a:extLst>
            <a:ext uri="{FF2B5EF4-FFF2-40B4-BE49-F238E27FC236}">
              <a16:creationId xmlns:a16="http://schemas.microsoft.com/office/drawing/2014/main" id="{95FA335B-F776-2586-3DE4-9357A1F3934E}"/>
            </a:ext>
          </a:extLst>
        </xdr:cNvPr>
        <xdr:cNvSpPr/>
      </xdr:nvSpPr>
      <xdr:spPr>
        <a:xfrm>
          <a:off x="13508610954" y="13223630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246184</xdr:colOff>
      <xdr:row>67</xdr:row>
      <xdr:rowOff>35169</xdr:rowOff>
    </xdr:from>
    <xdr:to>
      <xdr:col>0</xdr:col>
      <xdr:colOff>394676</xdr:colOff>
      <xdr:row>67</xdr:row>
      <xdr:rowOff>199292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C8AC6D2E-377E-97CC-A794-F875FFC73C2D}"/>
            </a:ext>
          </a:extLst>
        </xdr:cNvPr>
        <xdr:cNvSpPr/>
      </xdr:nvSpPr>
      <xdr:spPr>
        <a:xfrm>
          <a:off x="13508591416" y="13649569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257907</xdr:colOff>
      <xdr:row>69</xdr:row>
      <xdr:rowOff>7815</xdr:rowOff>
    </xdr:from>
    <xdr:to>
      <xdr:col>0</xdr:col>
      <xdr:colOff>406399</xdr:colOff>
      <xdr:row>69</xdr:row>
      <xdr:rowOff>171938</xdr:rowOff>
    </xdr:to>
    <xdr:sp macro="" textlink="">
      <xdr:nvSpPr>
        <xdr:cNvPr id="56" name="Oval 55">
          <a:extLst>
            <a:ext uri="{FF2B5EF4-FFF2-40B4-BE49-F238E27FC236}">
              <a16:creationId xmlns:a16="http://schemas.microsoft.com/office/drawing/2014/main" id="{60757186-240C-EFD6-B66B-016085B907D9}"/>
            </a:ext>
          </a:extLst>
        </xdr:cNvPr>
        <xdr:cNvSpPr/>
      </xdr:nvSpPr>
      <xdr:spPr>
        <a:xfrm>
          <a:off x="13508579693" y="14028615"/>
          <a:ext cx="148492" cy="1641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 editAs="oneCell">
    <xdr:from>
      <xdr:col>1</xdr:col>
      <xdr:colOff>53514</xdr:colOff>
      <xdr:row>75</xdr:row>
      <xdr:rowOff>0</xdr:rowOff>
    </xdr:from>
    <xdr:to>
      <xdr:col>1</xdr:col>
      <xdr:colOff>457770</xdr:colOff>
      <xdr:row>77</xdr:row>
      <xdr:rowOff>102369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281D9757-D969-6F4C-8719-37E560A72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7703799" y="15240000"/>
          <a:ext cx="404256" cy="508769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75</xdr:row>
      <xdr:rowOff>35570</xdr:rowOff>
    </xdr:from>
    <xdr:to>
      <xdr:col>1</xdr:col>
      <xdr:colOff>518630</xdr:colOff>
      <xdr:row>77</xdr:row>
      <xdr:rowOff>43361</xdr:rowOff>
    </xdr:to>
    <xdr:sp macro="" textlink="">
      <xdr:nvSpPr>
        <xdr:cNvPr id="58" name="Freeform 57">
          <a:extLst>
            <a:ext uri="{FF2B5EF4-FFF2-40B4-BE49-F238E27FC236}">
              <a16:creationId xmlns:a16="http://schemas.microsoft.com/office/drawing/2014/main" id="{656BDFB1-D6A1-5E4A-831F-C5BF3600CED6}"/>
            </a:ext>
          </a:extLst>
        </xdr:cNvPr>
        <xdr:cNvSpPr/>
      </xdr:nvSpPr>
      <xdr:spPr>
        <a:xfrm>
          <a:off x="13507642939" y="15275570"/>
          <a:ext cx="518630" cy="414191"/>
        </a:xfrm>
        <a:custGeom>
          <a:avLst/>
          <a:gdLst>
            <a:gd name="connsiteX0" fmla="*/ 234208 w 518630"/>
            <a:gd name="connsiteY0" fmla="*/ 16493 h 416830"/>
            <a:gd name="connsiteX1" fmla="*/ 211117 w 518630"/>
            <a:gd name="connsiteY1" fmla="*/ 29688 h 416830"/>
            <a:gd name="connsiteX2" fmla="*/ 168234 w 518630"/>
            <a:gd name="connsiteY2" fmla="*/ 62675 h 416830"/>
            <a:gd name="connsiteX3" fmla="*/ 145143 w 518630"/>
            <a:gd name="connsiteY3" fmla="*/ 85766 h 416830"/>
            <a:gd name="connsiteX4" fmla="*/ 138545 w 518630"/>
            <a:gd name="connsiteY4" fmla="*/ 92363 h 416830"/>
            <a:gd name="connsiteX5" fmla="*/ 118753 w 518630"/>
            <a:gd name="connsiteY5" fmla="*/ 131948 h 416830"/>
            <a:gd name="connsiteX6" fmla="*/ 92364 w 518630"/>
            <a:gd name="connsiteY6" fmla="*/ 184727 h 416830"/>
            <a:gd name="connsiteX7" fmla="*/ 82468 w 518630"/>
            <a:gd name="connsiteY7" fmla="*/ 204519 h 416830"/>
            <a:gd name="connsiteX8" fmla="*/ 82468 w 518630"/>
            <a:gd name="connsiteY8" fmla="*/ 244104 h 416830"/>
            <a:gd name="connsiteX9" fmla="*/ 85766 w 518630"/>
            <a:gd name="connsiteY9" fmla="*/ 227610 h 416830"/>
            <a:gd name="connsiteX10" fmla="*/ 98961 w 518630"/>
            <a:gd name="connsiteY10" fmla="*/ 151740 h 416830"/>
            <a:gd name="connsiteX11" fmla="*/ 112156 w 518630"/>
            <a:gd name="connsiteY11" fmla="*/ 125350 h 416830"/>
            <a:gd name="connsiteX12" fmla="*/ 178130 w 518630"/>
            <a:gd name="connsiteY12" fmla="*/ 85766 h 416830"/>
            <a:gd name="connsiteX13" fmla="*/ 204519 w 518630"/>
            <a:gd name="connsiteY13" fmla="*/ 72571 h 416830"/>
            <a:gd name="connsiteX14" fmla="*/ 214416 w 518630"/>
            <a:gd name="connsiteY14" fmla="*/ 69272 h 416830"/>
            <a:gd name="connsiteX15" fmla="*/ 138545 w 518630"/>
            <a:gd name="connsiteY15" fmla="*/ 75870 h 416830"/>
            <a:gd name="connsiteX16" fmla="*/ 131948 w 518630"/>
            <a:gd name="connsiteY16" fmla="*/ 105558 h 416830"/>
            <a:gd name="connsiteX17" fmla="*/ 135247 w 518630"/>
            <a:gd name="connsiteY17" fmla="*/ 125350 h 416830"/>
            <a:gd name="connsiteX18" fmla="*/ 138545 w 518630"/>
            <a:gd name="connsiteY18" fmla="*/ 112156 h 416830"/>
            <a:gd name="connsiteX19" fmla="*/ 155039 w 518630"/>
            <a:gd name="connsiteY19" fmla="*/ 75870 h 416830"/>
            <a:gd name="connsiteX20" fmla="*/ 168234 w 518630"/>
            <a:gd name="connsiteY20" fmla="*/ 56078 h 416830"/>
            <a:gd name="connsiteX21" fmla="*/ 201221 w 518630"/>
            <a:gd name="connsiteY21" fmla="*/ 23091 h 416830"/>
            <a:gd name="connsiteX22" fmla="*/ 263896 w 518630"/>
            <a:gd name="connsiteY22" fmla="*/ 29688 h 416830"/>
            <a:gd name="connsiteX23" fmla="*/ 336468 w 518630"/>
            <a:gd name="connsiteY23" fmla="*/ 32987 h 416830"/>
            <a:gd name="connsiteX24" fmla="*/ 362857 w 518630"/>
            <a:gd name="connsiteY24" fmla="*/ 42883 h 416830"/>
            <a:gd name="connsiteX25" fmla="*/ 376052 w 518630"/>
            <a:gd name="connsiteY25" fmla="*/ 56078 h 416830"/>
            <a:gd name="connsiteX26" fmla="*/ 392545 w 518630"/>
            <a:gd name="connsiteY26" fmla="*/ 65974 h 416830"/>
            <a:gd name="connsiteX27" fmla="*/ 412338 w 518630"/>
            <a:gd name="connsiteY27" fmla="*/ 79169 h 416830"/>
            <a:gd name="connsiteX28" fmla="*/ 422234 w 518630"/>
            <a:gd name="connsiteY28" fmla="*/ 112156 h 416830"/>
            <a:gd name="connsiteX29" fmla="*/ 425532 w 518630"/>
            <a:gd name="connsiteY29" fmla="*/ 122052 h 416830"/>
            <a:gd name="connsiteX30" fmla="*/ 428831 w 518630"/>
            <a:gd name="connsiteY30" fmla="*/ 155039 h 416830"/>
            <a:gd name="connsiteX31" fmla="*/ 432130 w 518630"/>
            <a:gd name="connsiteY31" fmla="*/ 164935 h 416830"/>
            <a:gd name="connsiteX32" fmla="*/ 435429 w 518630"/>
            <a:gd name="connsiteY32" fmla="*/ 178130 h 416830"/>
            <a:gd name="connsiteX33" fmla="*/ 438727 w 518630"/>
            <a:gd name="connsiteY33" fmla="*/ 204519 h 416830"/>
            <a:gd name="connsiteX34" fmla="*/ 442026 w 518630"/>
            <a:gd name="connsiteY34" fmla="*/ 214415 h 416830"/>
            <a:gd name="connsiteX35" fmla="*/ 445325 w 518630"/>
            <a:gd name="connsiteY35" fmla="*/ 227610 h 416830"/>
            <a:gd name="connsiteX36" fmla="*/ 448623 w 518630"/>
            <a:gd name="connsiteY36" fmla="*/ 244104 h 416830"/>
            <a:gd name="connsiteX37" fmla="*/ 455221 w 518630"/>
            <a:gd name="connsiteY37" fmla="*/ 263896 h 416830"/>
            <a:gd name="connsiteX38" fmla="*/ 448623 w 518630"/>
            <a:gd name="connsiteY38" fmla="*/ 211117 h 416830"/>
            <a:gd name="connsiteX39" fmla="*/ 442026 w 518630"/>
            <a:gd name="connsiteY39" fmla="*/ 178130 h 416830"/>
            <a:gd name="connsiteX40" fmla="*/ 428831 w 518630"/>
            <a:gd name="connsiteY40" fmla="*/ 161636 h 416830"/>
            <a:gd name="connsiteX41" fmla="*/ 405740 w 518630"/>
            <a:gd name="connsiteY41" fmla="*/ 131948 h 416830"/>
            <a:gd name="connsiteX42" fmla="*/ 385948 w 518630"/>
            <a:gd name="connsiteY42" fmla="*/ 105558 h 416830"/>
            <a:gd name="connsiteX43" fmla="*/ 362857 w 518630"/>
            <a:gd name="connsiteY43" fmla="*/ 79169 h 416830"/>
            <a:gd name="connsiteX44" fmla="*/ 346364 w 518630"/>
            <a:gd name="connsiteY44" fmla="*/ 72571 h 416830"/>
            <a:gd name="connsiteX45" fmla="*/ 333169 w 518630"/>
            <a:gd name="connsiteY45" fmla="*/ 65974 h 416830"/>
            <a:gd name="connsiteX46" fmla="*/ 310078 w 518630"/>
            <a:gd name="connsiteY46" fmla="*/ 62675 h 416830"/>
            <a:gd name="connsiteX47" fmla="*/ 290286 w 518630"/>
            <a:gd name="connsiteY47" fmla="*/ 59376 h 416830"/>
            <a:gd name="connsiteX48" fmla="*/ 267195 w 518630"/>
            <a:gd name="connsiteY48" fmla="*/ 49480 h 416830"/>
            <a:gd name="connsiteX49" fmla="*/ 227610 w 518630"/>
            <a:gd name="connsiteY49" fmla="*/ 39584 h 416830"/>
            <a:gd name="connsiteX50" fmla="*/ 204519 w 518630"/>
            <a:gd name="connsiteY50" fmla="*/ 36285 h 416830"/>
            <a:gd name="connsiteX51" fmla="*/ 138545 w 518630"/>
            <a:gd name="connsiteY51" fmla="*/ 42883 h 416830"/>
            <a:gd name="connsiteX52" fmla="*/ 95662 w 518630"/>
            <a:gd name="connsiteY52" fmla="*/ 56078 h 416830"/>
            <a:gd name="connsiteX53" fmla="*/ 82468 w 518630"/>
            <a:gd name="connsiteY53" fmla="*/ 65974 h 416830"/>
            <a:gd name="connsiteX54" fmla="*/ 65974 w 518630"/>
            <a:gd name="connsiteY54" fmla="*/ 72571 h 416830"/>
            <a:gd name="connsiteX55" fmla="*/ 59377 w 518630"/>
            <a:gd name="connsiteY55" fmla="*/ 82467 h 416830"/>
            <a:gd name="connsiteX56" fmla="*/ 46182 w 518630"/>
            <a:gd name="connsiteY56" fmla="*/ 92363 h 416830"/>
            <a:gd name="connsiteX57" fmla="*/ 29688 w 518630"/>
            <a:gd name="connsiteY57" fmla="*/ 122052 h 416830"/>
            <a:gd name="connsiteX58" fmla="*/ 23091 w 518630"/>
            <a:gd name="connsiteY58" fmla="*/ 135247 h 416830"/>
            <a:gd name="connsiteX59" fmla="*/ 19792 w 518630"/>
            <a:gd name="connsiteY59" fmla="*/ 151740 h 416830"/>
            <a:gd name="connsiteX60" fmla="*/ 16494 w 518630"/>
            <a:gd name="connsiteY60" fmla="*/ 164935 h 416830"/>
            <a:gd name="connsiteX61" fmla="*/ 26390 w 518630"/>
            <a:gd name="connsiteY61" fmla="*/ 188026 h 416830"/>
            <a:gd name="connsiteX62" fmla="*/ 32987 w 518630"/>
            <a:gd name="connsiteY62" fmla="*/ 234208 h 416830"/>
            <a:gd name="connsiteX63" fmla="*/ 36286 w 518630"/>
            <a:gd name="connsiteY63" fmla="*/ 244104 h 416830"/>
            <a:gd name="connsiteX64" fmla="*/ 39584 w 518630"/>
            <a:gd name="connsiteY64" fmla="*/ 267195 h 416830"/>
            <a:gd name="connsiteX65" fmla="*/ 49481 w 518630"/>
            <a:gd name="connsiteY65" fmla="*/ 316675 h 416830"/>
            <a:gd name="connsiteX66" fmla="*/ 49481 w 518630"/>
            <a:gd name="connsiteY66" fmla="*/ 270493 h 416830"/>
            <a:gd name="connsiteX67" fmla="*/ 46182 w 518630"/>
            <a:gd name="connsiteY67" fmla="*/ 257298 h 416830"/>
            <a:gd name="connsiteX68" fmla="*/ 42883 w 518630"/>
            <a:gd name="connsiteY68" fmla="*/ 244104 h 416830"/>
            <a:gd name="connsiteX69" fmla="*/ 49481 w 518630"/>
            <a:gd name="connsiteY69" fmla="*/ 164935 h 416830"/>
            <a:gd name="connsiteX70" fmla="*/ 56078 w 518630"/>
            <a:gd name="connsiteY70" fmla="*/ 141844 h 416830"/>
            <a:gd name="connsiteX71" fmla="*/ 62675 w 518630"/>
            <a:gd name="connsiteY71" fmla="*/ 115454 h 416830"/>
            <a:gd name="connsiteX72" fmla="*/ 69273 w 518630"/>
            <a:gd name="connsiteY72" fmla="*/ 108857 h 416830"/>
            <a:gd name="connsiteX73" fmla="*/ 118753 w 518630"/>
            <a:gd name="connsiteY73" fmla="*/ 102260 h 416830"/>
            <a:gd name="connsiteX74" fmla="*/ 204519 w 518630"/>
            <a:gd name="connsiteY74" fmla="*/ 65974 h 416830"/>
            <a:gd name="connsiteX75" fmla="*/ 300182 w 518630"/>
            <a:gd name="connsiteY75" fmla="*/ 26389 h 416830"/>
            <a:gd name="connsiteX76" fmla="*/ 319974 w 518630"/>
            <a:gd name="connsiteY76" fmla="*/ 23091 h 416830"/>
            <a:gd name="connsiteX77" fmla="*/ 372753 w 518630"/>
            <a:gd name="connsiteY77" fmla="*/ 29688 h 416830"/>
            <a:gd name="connsiteX78" fmla="*/ 412338 w 518630"/>
            <a:gd name="connsiteY78" fmla="*/ 46182 h 416830"/>
            <a:gd name="connsiteX79" fmla="*/ 422234 w 518630"/>
            <a:gd name="connsiteY79" fmla="*/ 52779 h 416830"/>
            <a:gd name="connsiteX80" fmla="*/ 425532 w 518630"/>
            <a:gd name="connsiteY80" fmla="*/ 62675 h 416830"/>
            <a:gd name="connsiteX81" fmla="*/ 432130 w 518630"/>
            <a:gd name="connsiteY81" fmla="*/ 112156 h 416830"/>
            <a:gd name="connsiteX82" fmla="*/ 442026 w 518630"/>
            <a:gd name="connsiteY82" fmla="*/ 135247 h 416830"/>
            <a:gd name="connsiteX83" fmla="*/ 461818 w 518630"/>
            <a:gd name="connsiteY83" fmla="*/ 174831 h 416830"/>
            <a:gd name="connsiteX84" fmla="*/ 475013 w 518630"/>
            <a:gd name="connsiteY84" fmla="*/ 211117 h 416830"/>
            <a:gd name="connsiteX85" fmla="*/ 484909 w 518630"/>
            <a:gd name="connsiteY85" fmla="*/ 237506 h 416830"/>
            <a:gd name="connsiteX86" fmla="*/ 488208 w 518630"/>
            <a:gd name="connsiteY86" fmla="*/ 227610 h 416830"/>
            <a:gd name="connsiteX87" fmla="*/ 484909 w 518630"/>
            <a:gd name="connsiteY87" fmla="*/ 214415 h 416830"/>
            <a:gd name="connsiteX88" fmla="*/ 475013 w 518630"/>
            <a:gd name="connsiteY88" fmla="*/ 194623 h 416830"/>
            <a:gd name="connsiteX89" fmla="*/ 451922 w 518630"/>
            <a:gd name="connsiteY89" fmla="*/ 178130 h 416830"/>
            <a:gd name="connsiteX90" fmla="*/ 418935 w 518630"/>
            <a:gd name="connsiteY90" fmla="*/ 141844 h 416830"/>
            <a:gd name="connsiteX91" fmla="*/ 382649 w 518630"/>
            <a:gd name="connsiteY91" fmla="*/ 108857 h 416830"/>
            <a:gd name="connsiteX92" fmla="*/ 372753 w 518630"/>
            <a:gd name="connsiteY92" fmla="*/ 95662 h 416830"/>
            <a:gd name="connsiteX93" fmla="*/ 349662 w 518630"/>
            <a:gd name="connsiteY93" fmla="*/ 72571 h 416830"/>
            <a:gd name="connsiteX94" fmla="*/ 343065 w 518630"/>
            <a:gd name="connsiteY94" fmla="*/ 62675 h 416830"/>
            <a:gd name="connsiteX95" fmla="*/ 329870 w 518630"/>
            <a:gd name="connsiteY95" fmla="*/ 56078 h 416830"/>
            <a:gd name="connsiteX96" fmla="*/ 267195 w 518630"/>
            <a:gd name="connsiteY96" fmla="*/ 59376 h 416830"/>
            <a:gd name="connsiteX97" fmla="*/ 207818 w 518630"/>
            <a:gd name="connsiteY97" fmla="*/ 65974 h 416830"/>
            <a:gd name="connsiteX98" fmla="*/ 158338 w 518630"/>
            <a:gd name="connsiteY98" fmla="*/ 69272 h 416830"/>
            <a:gd name="connsiteX99" fmla="*/ 115455 w 518630"/>
            <a:gd name="connsiteY99" fmla="*/ 75870 h 416830"/>
            <a:gd name="connsiteX100" fmla="*/ 98961 w 518630"/>
            <a:gd name="connsiteY100" fmla="*/ 79169 h 416830"/>
            <a:gd name="connsiteX101" fmla="*/ 62675 w 518630"/>
            <a:gd name="connsiteY101" fmla="*/ 95662 h 416830"/>
            <a:gd name="connsiteX102" fmla="*/ 42883 w 518630"/>
            <a:gd name="connsiteY102" fmla="*/ 102260 h 416830"/>
            <a:gd name="connsiteX103" fmla="*/ 9896 w 518630"/>
            <a:gd name="connsiteY103" fmla="*/ 118753 h 416830"/>
            <a:gd name="connsiteX104" fmla="*/ 0 w 518630"/>
            <a:gd name="connsiteY104" fmla="*/ 138545 h 416830"/>
            <a:gd name="connsiteX105" fmla="*/ 6597 w 518630"/>
            <a:gd name="connsiteY105" fmla="*/ 178130 h 416830"/>
            <a:gd name="connsiteX106" fmla="*/ 13195 w 518630"/>
            <a:gd name="connsiteY106" fmla="*/ 194623 h 416830"/>
            <a:gd name="connsiteX107" fmla="*/ 16494 w 518630"/>
            <a:gd name="connsiteY107" fmla="*/ 224311 h 416830"/>
            <a:gd name="connsiteX108" fmla="*/ 23091 w 518630"/>
            <a:gd name="connsiteY108" fmla="*/ 240805 h 416830"/>
            <a:gd name="connsiteX109" fmla="*/ 29688 w 518630"/>
            <a:gd name="connsiteY109" fmla="*/ 267195 h 416830"/>
            <a:gd name="connsiteX110" fmla="*/ 32987 w 518630"/>
            <a:gd name="connsiteY110" fmla="*/ 283688 h 416830"/>
            <a:gd name="connsiteX111" fmla="*/ 39584 w 518630"/>
            <a:gd name="connsiteY111" fmla="*/ 319974 h 416830"/>
            <a:gd name="connsiteX112" fmla="*/ 46182 w 518630"/>
            <a:gd name="connsiteY112" fmla="*/ 346363 h 416830"/>
            <a:gd name="connsiteX113" fmla="*/ 52779 w 518630"/>
            <a:gd name="connsiteY113" fmla="*/ 389247 h 416830"/>
            <a:gd name="connsiteX114" fmla="*/ 56078 w 518630"/>
            <a:gd name="connsiteY114" fmla="*/ 405740 h 416830"/>
            <a:gd name="connsiteX115" fmla="*/ 59377 w 518630"/>
            <a:gd name="connsiteY115" fmla="*/ 415636 h 416830"/>
            <a:gd name="connsiteX116" fmla="*/ 52779 w 518630"/>
            <a:gd name="connsiteY116" fmla="*/ 405740 h 416830"/>
            <a:gd name="connsiteX117" fmla="*/ 49481 w 518630"/>
            <a:gd name="connsiteY117" fmla="*/ 349662 h 416830"/>
            <a:gd name="connsiteX118" fmla="*/ 46182 w 518630"/>
            <a:gd name="connsiteY118" fmla="*/ 339766 h 416830"/>
            <a:gd name="connsiteX119" fmla="*/ 42883 w 518630"/>
            <a:gd name="connsiteY119" fmla="*/ 326571 h 416830"/>
            <a:gd name="connsiteX120" fmla="*/ 42883 w 518630"/>
            <a:gd name="connsiteY120" fmla="*/ 141844 h 416830"/>
            <a:gd name="connsiteX121" fmla="*/ 49481 w 518630"/>
            <a:gd name="connsiteY121" fmla="*/ 125350 h 416830"/>
            <a:gd name="connsiteX122" fmla="*/ 56078 w 518630"/>
            <a:gd name="connsiteY122" fmla="*/ 115454 h 416830"/>
            <a:gd name="connsiteX123" fmla="*/ 85766 w 518630"/>
            <a:gd name="connsiteY123" fmla="*/ 102260 h 416830"/>
            <a:gd name="connsiteX124" fmla="*/ 128649 w 518630"/>
            <a:gd name="connsiteY124" fmla="*/ 82467 h 416830"/>
            <a:gd name="connsiteX125" fmla="*/ 191325 w 518630"/>
            <a:gd name="connsiteY125" fmla="*/ 59376 h 416830"/>
            <a:gd name="connsiteX126" fmla="*/ 303481 w 518630"/>
            <a:gd name="connsiteY126" fmla="*/ 32987 h 416830"/>
            <a:gd name="connsiteX127" fmla="*/ 333169 w 518630"/>
            <a:gd name="connsiteY127" fmla="*/ 29688 h 416830"/>
            <a:gd name="connsiteX128" fmla="*/ 356260 w 518630"/>
            <a:gd name="connsiteY128" fmla="*/ 26389 h 416830"/>
            <a:gd name="connsiteX129" fmla="*/ 382649 w 518630"/>
            <a:gd name="connsiteY129" fmla="*/ 42883 h 416830"/>
            <a:gd name="connsiteX130" fmla="*/ 409039 w 518630"/>
            <a:gd name="connsiteY130" fmla="*/ 56078 h 416830"/>
            <a:gd name="connsiteX131" fmla="*/ 418935 w 518630"/>
            <a:gd name="connsiteY131" fmla="*/ 62675 h 416830"/>
            <a:gd name="connsiteX132" fmla="*/ 425532 w 518630"/>
            <a:gd name="connsiteY132" fmla="*/ 72571 h 416830"/>
            <a:gd name="connsiteX133" fmla="*/ 432130 w 518630"/>
            <a:gd name="connsiteY133" fmla="*/ 79169 h 416830"/>
            <a:gd name="connsiteX134" fmla="*/ 438727 w 518630"/>
            <a:gd name="connsiteY134" fmla="*/ 92363 h 416830"/>
            <a:gd name="connsiteX135" fmla="*/ 442026 w 518630"/>
            <a:gd name="connsiteY135" fmla="*/ 108857 h 416830"/>
            <a:gd name="connsiteX136" fmla="*/ 448623 w 518630"/>
            <a:gd name="connsiteY136" fmla="*/ 118753 h 416830"/>
            <a:gd name="connsiteX137" fmla="*/ 461818 w 518630"/>
            <a:gd name="connsiteY137" fmla="*/ 145143 h 416830"/>
            <a:gd name="connsiteX138" fmla="*/ 475013 w 518630"/>
            <a:gd name="connsiteY138" fmla="*/ 171532 h 416830"/>
            <a:gd name="connsiteX139" fmla="*/ 478312 w 518630"/>
            <a:gd name="connsiteY139" fmla="*/ 181428 h 416830"/>
            <a:gd name="connsiteX140" fmla="*/ 491506 w 518630"/>
            <a:gd name="connsiteY140" fmla="*/ 197922 h 416830"/>
            <a:gd name="connsiteX141" fmla="*/ 498104 w 518630"/>
            <a:gd name="connsiteY141" fmla="*/ 217714 h 416830"/>
            <a:gd name="connsiteX142" fmla="*/ 501403 w 518630"/>
            <a:gd name="connsiteY142" fmla="*/ 227610 h 416830"/>
            <a:gd name="connsiteX143" fmla="*/ 508000 w 518630"/>
            <a:gd name="connsiteY143" fmla="*/ 234208 h 416830"/>
            <a:gd name="connsiteX144" fmla="*/ 514597 w 518630"/>
            <a:gd name="connsiteY144" fmla="*/ 247402 h 416830"/>
            <a:gd name="connsiteX145" fmla="*/ 517896 w 518630"/>
            <a:gd name="connsiteY145" fmla="*/ 257298 h 416830"/>
            <a:gd name="connsiteX146" fmla="*/ 504701 w 518630"/>
            <a:gd name="connsiteY146" fmla="*/ 237506 h 416830"/>
            <a:gd name="connsiteX147" fmla="*/ 484909 w 518630"/>
            <a:gd name="connsiteY147" fmla="*/ 191324 h 416830"/>
            <a:gd name="connsiteX148" fmla="*/ 475013 w 518630"/>
            <a:gd name="connsiteY148" fmla="*/ 168234 h 416830"/>
            <a:gd name="connsiteX149" fmla="*/ 458519 w 518630"/>
            <a:gd name="connsiteY149" fmla="*/ 145143 h 416830"/>
            <a:gd name="connsiteX150" fmla="*/ 435429 w 518630"/>
            <a:gd name="connsiteY150" fmla="*/ 105558 h 416830"/>
            <a:gd name="connsiteX151" fmla="*/ 428831 w 518630"/>
            <a:gd name="connsiteY151" fmla="*/ 95662 h 416830"/>
            <a:gd name="connsiteX152" fmla="*/ 415636 w 518630"/>
            <a:gd name="connsiteY152" fmla="*/ 79169 h 416830"/>
            <a:gd name="connsiteX153" fmla="*/ 409039 w 518630"/>
            <a:gd name="connsiteY153" fmla="*/ 69272 h 416830"/>
            <a:gd name="connsiteX154" fmla="*/ 385948 w 518630"/>
            <a:gd name="connsiteY154" fmla="*/ 52779 h 416830"/>
            <a:gd name="connsiteX155" fmla="*/ 280390 w 518630"/>
            <a:gd name="connsiteY155" fmla="*/ 59376 h 416830"/>
            <a:gd name="connsiteX156" fmla="*/ 194623 w 518630"/>
            <a:gd name="connsiteY156" fmla="*/ 65974 h 416830"/>
            <a:gd name="connsiteX157" fmla="*/ 155039 w 518630"/>
            <a:gd name="connsiteY157" fmla="*/ 72571 h 416830"/>
            <a:gd name="connsiteX158" fmla="*/ 125351 w 518630"/>
            <a:gd name="connsiteY158" fmla="*/ 75870 h 416830"/>
            <a:gd name="connsiteX159" fmla="*/ 108857 w 518630"/>
            <a:gd name="connsiteY159" fmla="*/ 82467 h 416830"/>
            <a:gd name="connsiteX160" fmla="*/ 92364 w 518630"/>
            <a:gd name="connsiteY160" fmla="*/ 85766 h 416830"/>
            <a:gd name="connsiteX161" fmla="*/ 69273 w 518630"/>
            <a:gd name="connsiteY161" fmla="*/ 92363 h 416830"/>
            <a:gd name="connsiteX162" fmla="*/ 72571 w 518630"/>
            <a:gd name="connsiteY162" fmla="*/ 122052 h 416830"/>
            <a:gd name="connsiteX163" fmla="*/ 75870 w 518630"/>
            <a:gd name="connsiteY163" fmla="*/ 138545 h 416830"/>
            <a:gd name="connsiteX164" fmla="*/ 72571 w 518630"/>
            <a:gd name="connsiteY164" fmla="*/ 257298 h 416830"/>
            <a:gd name="connsiteX165" fmla="*/ 69273 w 518630"/>
            <a:gd name="connsiteY165" fmla="*/ 283688 h 416830"/>
            <a:gd name="connsiteX166" fmla="*/ 62675 w 518630"/>
            <a:gd name="connsiteY166" fmla="*/ 319974 h 416830"/>
            <a:gd name="connsiteX167" fmla="*/ 65974 w 518630"/>
            <a:gd name="connsiteY167" fmla="*/ 412337 h 416830"/>
            <a:gd name="connsiteX168" fmla="*/ 69273 w 518630"/>
            <a:gd name="connsiteY168" fmla="*/ 339766 h 416830"/>
            <a:gd name="connsiteX169" fmla="*/ 72571 w 518630"/>
            <a:gd name="connsiteY169" fmla="*/ 306779 h 416830"/>
            <a:gd name="connsiteX170" fmla="*/ 75870 w 518630"/>
            <a:gd name="connsiteY170" fmla="*/ 188026 h 416830"/>
            <a:gd name="connsiteX171" fmla="*/ 92364 w 518630"/>
            <a:gd name="connsiteY171" fmla="*/ 141844 h 416830"/>
            <a:gd name="connsiteX172" fmla="*/ 105558 w 518630"/>
            <a:gd name="connsiteY172" fmla="*/ 115454 h 416830"/>
            <a:gd name="connsiteX173" fmla="*/ 115455 w 518630"/>
            <a:gd name="connsiteY173" fmla="*/ 89065 h 416830"/>
            <a:gd name="connsiteX174" fmla="*/ 125351 w 518630"/>
            <a:gd name="connsiteY174" fmla="*/ 65974 h 416830"/>
            <a:gd name="connsiteX175" fmla="*/ 135247 w 518630"/>
            <a:gd name="connsiteY175" fmla="*/ 49480 h 416830"/>
            <a:gd name="connsiteX176" fmla="*/ 148442 w 518630"/>
            <a:gd name="connsiteY176" fmla="*/ 42883 h 416830"/>
            <a:gd name="connsiteX177" fmla="*/ 174831 w 518630"/>
            <a:gd name="connsiteY177" fmla="*/ 23091 h 416830"/>
            <a:gd name="connsiteX178" fmla="*/ 184727 w 518630"/>
            <a:gd name="connsiteY178" fmla="*/ 16493 h 416830"/>
            <a:gd name="connsiteX179" fmla="*/ 148442 w 518630"/>
            <a:gd name="connsiteY179" fmla="*/ 13195 h 416830"/>
            <a:gd name="connsiteX180" fmla="*/ 161636 w 518630"/>
            <a:gd name="connsiteY180" fmla="*/ 9896 h 416830"/>
            <a:gd name="connsiteX181" fmla="*/ 188026 w 518630"/>
            <a:gd name="connsiteY181" fmla="*/ 0 h 416830"/>
            <a:gd name="connsiteX182" fmla="*/ 293584 w 518630"/>
            <a:gd name="connsiteY182" fmla="*/ 3298 h 416830"/>
            <a:gd name="connsiteX183" fmla="*/ 352961 w 518630"/>
            <a:gd name="connsiteY183" fmla="*/ 9896 h 416830"/>
            <a:gd name="connsiteX184" fmla="*/ 379351 w 518630"/>
            <a:gd name="connsiteY184" fmla="*/ 13195 h 416830"/>
            <a:gd name="connsiteX185" fmla="*/ 382649 w 518630"/>
            <a:gd name="connsiteY185" fmla="*/ 89065 h 416830"/>
            <a:gd name="connsiteX186" fmla="*/ 415636 w 518630"/>
            <a:gd name="connsiteY186" fmla="*/ 141844 h 416830"/>
            <a:gd name="connsiteX187" fmla="*/ 451922 w 518630"/>
            <a:gd name="connsiteY187" fmla="*/ 188026 h 416830"/>
            <a:gd name="connsiteX188" fmla="*/ 461818 w 518630"/>
            <a:gd name="connsiteY188" fmla="*/ 204519 h 416830"/>
            <a:gd name="connsiteX189" fmla="*/ 478312 w 518630"/>
            <a:gd name="connsiteY189" fmla="*/ 221013 h 416830"/>
            <a:gd name="connsiteX190" fmla="*/ 491506 w 518630"/>
            <a:gd name="connsiteY190" fmla="*/ 240805 h 416830"/>
            <a:gd name="connsiteX191" fmla="*/ 498104 w 518630"/>
            <a:gd name="connsiteY191" fmla="*/ 250701 h 41683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</a:cxnLst>
          <a:rect l="l" t="t" r="r" b="b"/>
          <a:pathLst>
            <a:path w="518630" h="416830">
              <a:moveTo>
                <a:pt x="234208" y="16493"/>
              </a:moveTo>
              <a:cubicBezTo>
                <a:pt x="226511" y="20891"/>
                <a:pt x="218574" y="24894"/>
                <a:pt x="211117" y="29688"/>
              </a:cubicBezTo>
              <a:cubicBezTo>
                <a:pt x="198253" y="37958"/>
                <a:pt x="179663" y="52125"/>
                <a:pt x="168234" y="62675"/>
              </a:cubicBezTo>
              <a:cubicBezTo>
                <a:pt x="160235" y="70058"/>
                <a:pt x="152840" y="78069"/>
                <a:pt x="145143" y="85766"/>
              </a:cubicBezTo>
              <a:lnTo>
                <a:pt x="138545" y="92363"/>
              </a:lnTo>
              <a:cubicBezTo>
                <a:pt x="125168" y="132498"/>
                <a:pt x="140677" y="91753"/>
                <a:pt x="118753" y="131948"/>
              </a:cubicBezTo>
              <a:cubicBezTo>
                <a:pt x="109334" y="149216"/>
                <a:pt x="101160" y="167134"/>
                <a:pt x="92364" y="184727"/>
              </a:cubicBezTo>
              <a:lnTo>
                <a:pt x="82468" y="204519"/>
              </a:lnTo>
              <a:cubicBezTo>
                <a:pt x="80595" y="213884"/>
                <a:pt x="74284" y="235920"/>
                <a:pt x="82468" y="244104"/>
              </a:cubicBezTo>
              <a:cubicBezTo>
                <a:pt x="86433" y="248069"/>
                <a:pt x="84973" y="233160"/>
                <a:pt x="85766" y="227610"/>
              </a:cubicBezTo>
              <a:cubicBezTo>
                <a:pt x="92078" y="183427"/>
                <a:pt x="88071" y="184411"/>
                <a:pt x="98961" y="151740"/>
              </a:cubicBezTo>
              <a:cubicBezTo>
                <a:pt x="100791" y="146249"/>
                <a:pt x="106451" y="130341"/>
                <a:pt x="112156" y="125350"/>
              </a:cubicBezTo>
              <a:cubicBezTo>
                <a:pt x="123018" y="115846"/>
                <a:pt x="178021" y="85848"/>
                <a:pt x="178130" y="85766"/>
              </a:cubicBezTo>
              <a:cubicBezTo>
                <a:pt x="196680" y="71854"/>
                <a:pt x="184567" y="78272"/>
                <a:pt x="204519" y="72571"/>
              </a:cubicBezTo>
              <a:cubicBezTo>
                <a:pt x="207863" y="71616"/>
                <a:pt x="217889" y="69098"/>
                <a:pt x="214416" y="69272"/>
              </a:cubicBezTo>
              <a:cubicBezTo>
                <a:pt x="189062" y="70540"/>
                <a:pt x="163835" y="73671"/>
                <a:pt x="138545" y="75870"/>
              </a:cubicBezTo>
              <a:cubicBezTo>
                <a:pt x="135145" y="86073"/>
                <a:pt x="131948" y="93951"/>
                <a:pt x="131948" y="105558"/>
              </a:cubicBezTo>
              <a:cubicBezTo>
                <a:pt x="131948" y="112246"/>
                <a:pt x="134147" y="118753"/>
                <a:pt x="135247" y="125350"/>
              </a:cubicBezTo>
              <a:cubicBezTo>
                <a:pt x="136346" y="120952"/>
                <a:pt x="137111" y="116457"/>
                <a:pt x="138545" y="112156"/>
              </a:cubicBezTo>
              <a:cubicBezTo>
                <a:pt x="142012" y="101754"/>
                <a:pt x="149807" y="84839"/>
                <a:pt x="155039" y="75870"/>
              </a:cubicBezTo>
              <a:cubicBezTo>
                <a:pt x="159034" y="69021"/>
                <a:pt x="163625" y="62530"/>
                <a:pt x="168234" y="56078"/>
              </a:cubicBezTo>
              <a:cubicBezTo>
                <a:pt x="189293" y="26596"/>
                <a:pt x="178944" y="34229"/>
                <a:pt x="201221" y="23091"/>
              </a:cubicBezTo>
              <a:cubicBezTo>
                <a:pt x="230780" y="29002"/>
                <a:pt x="217813" y="27128"/>
                <a:pt x="263896" y="29688"/>
              </a:cubicBezTo>
              <a:cubicBezTo>
                <a:pt x="288074" y="31031"/>
                <a:pt x="312277" y="31887"/>
                <a:pt x="336468" y="32987"/>
              </a:cubicBezTo>
              <a:cubicBezTo>
                <a:pt x="346483" y="35490"/>
                <a:pt x="354231" y="36413"/>
                <a:pt x="362857" y="42883"/>
              </a:cubicBezTo>
              <a:cubicBezTo>
                <a:pt x="367833" y="46615"/>
                <a:pt x="371654" y="51680"/>
                <a:pt x="376052" y="56078"/>
              </a:cubicBezTo>
              <a:cubicBezTo>
                <a:pt x="380586" y="60612"/>
                <a:pt x="387136" y="62532"/>
                <a:pt x="392545" y="65974"/>
              </a:cubicBezTo>
              <a:cubicBezTo>
                <a:pt x="399235" y="70231"/>
                <a:pt x="412338" y="79169"/>
                <a:pt x="412338" y="79169"/>
              </a:cubicBezTo>
              <a:cubicBezTo>
                <a:pt x="417324" y="99115"/>
                <a:pt x="414200" y="88054"/>
                <a:pt x="422234" y="112156"/>
              </a:cubicBezTo>
              <a:lnTo>
                <a:pt x="425532" y="122052"/>
              </a:lnTo>
              <a:cubicBezTo>
                <a:pt x="426632" y="133048"/>
                <a:pt x="427151" y="144117"/>
                <a:pt x="428831" y="155039"/>
              </a:cubicBezTo>
              <a:cubicBezTo>
                <a:pt x="429360" y="158476"/>
                <a:pt x="431175" y="161592"/>
                <a:pt x="432130" y="164935"/>
              </a:cubicBezTo>
              <a:cubicBezTo>
                <a:pt x="433376" y="169294"/>
                <a:pt x="434329" y="173732"/>
                <a:pt x="435429" y="178130"/>
              </a:cubicBezTo>
              <a:cubicBezTo>
                <a:pt x="436528" y="186926"/>
                <a:pt x="437141" y="195797"/>
                <a:pt x="438727" y="204519"/>
              </a:cubicBezTo>
              <a:cubicBezTo>
                <a:pt x="439349" y="207940"/>
                <a:pt x="441071" y="211072"/>
                <a:pt x="442026" y="214415"/>
              </a:cubicBezTo>
              <a:cubicBezTo>
                <a:pt x="443272" y="218774"/>
                <a:pt x="444342" y="223184"/>
                <a:pt x="445325" y="227610"/>
              </a:cubicBezTo>
              <a:cubicBezTo>
                <a:pt x="446541" y="233083"/>
                <a:pt x="447148" y="238695"/>
                <a:pt x="448623" y="244104"/>
              </a:cubicBezTo>
              <a:cubicBezTo>
                <a:pt x="450453" y="250813"/>
                <a:pt x="455221" y="263896"/>
                <a:pt x="455221" y="263896"/>
              </a:cubicBezTo>
              <a:cubicBezTo>
                <a:pt x="448950" y="194923"/>
                <a:pt x="455442" y="252031"/>
                <a:pt x="448623" y="211117"/>
              </a:cubicBezTo>
              <a:cubicBezTo>
                <a:pt x="447102" y="201993"/>
                <a:pt x="446769" y="187616"/>
                <a:pt x="442026" y="178130"/>
              </a:cubicBezTo>
              <a:cubicBezTo>
                <a:pt x="435630" y="165337"/>
                <a:pt x="436721" y="171280"/>
                <a:pt x="428831" y="161636"/>
              </a:cubicBezTo>
              <a:cubicBezTo>
                <a:pt x="420892" y="151933"/>
                <a:pt x="411346" y="143162"/>
                <a:pt x="405740" y="131948"/>
              </a:cubicBezTo>
              <a:cubicBezTo>
                <a:pt x="391970" y="104406"/>
                <a:pt x="408175" y="133340"/>
                <a:pt x="385948" y="105558"/>
              </a:cubicBezTo>
              <a:cubicBezTo>
                <a:pt x="383309" y="102259"/>
                <a:pt x="368806" y="82887"/>
                <a:pt x="362857" y="79169"/>
              </a:cubicBezTo>
              <a:cubicBezTo>
                <a:pt x="357836" y="76031"/>
                <a:pt x="351775" y="74976"/>
                <a:pt x="346364" y="72571"/>
              </a:cubicBezTo>
              <a:cubicBezTo>
                <a:pt x="341870" y="70574"/>
                <a:pt x="337913" y="67268"/>
                <a:pt x="333169" y="65974"/>
              </a:cubicBezTo>
              <a:cubicBezTo>
                <a:pt x="325668" y="63928"/>
                <a:pt x="317763" y="63857"/>
                <a:pt x="310078" y="62675"/>
              </a:cubicBezTo>
              <a:cubicBezTo>
                <a:pt x="303467" y="61658"/>
                <a:pt x="296883" y="60476"/>
                <a:pt x="290286" y="59376"/>
              </a:cubicBezTo>
              <a:cubicBezTo>
                <a:pt x="282589" y="56077"/>
                <a:pt x="275081" y="52296"/>
                <a:pt x="267195" y="49480"/>
              </a:cubicBezTo>
              <a:cubicBezTo>
                <a:pt x="255479" y="45296"/>
                <a:pt x="240210" y="41684"/>
                <a:pt x="227610" y="39584"/>
              </a:cubicBezTo>
              <a:cubicBezTo>
                <a:pt x="219941" y="38306"/>
                <a:pt x="212216" y="37385"/>
                <a:pt x="204519" y="36285"/>
              </a:cubicBezTo>
              <a:cubicBezTo>
                <a:pt x="184166" y="37739"/>
                <a:pt x="159475" y="38053"/>
                <a:pt x="138545" y="42883"/>
              </a:cubicBezTo>
              <a:cubicBezTo>
                <a:pt x="124716" y="46074"/>
                <a:pt x="109193" y="51567"/>
                <a:pt x="95662" y="56078"/>
              </a:cubicBezTo>
              <a:cubicBezTo>
                <a:pt x="91264" y="59377"/>
                <a:pt x="87274" y="63304"/>
                <a:pt x="82468" y="65974"/>
              </a:cubicBezTo>
              <a:cubicBezTo>
                <a:pt x="77292" y="68850"/>
                <a:pt x="70793" y="69129"/>
                <a:pt x="65974" y="72571"/>
              </a:cubicBezTo>
              <a:cubicBezTo>
                <a:pt x="62748" y="74875"/>
                <a:pt x="62180" y="79664"/>
                <a:pt x="59377" y="82467"/>
              </a:cubicBezTo>
              <a:cubicBezTo>
                <a:pt x="55489" y="86355"/>
                <a:pt x="50580" y="89064"/>
                <a:pt x="46182" y="92363"/>
              </a:cubicBezTo>
              <a:cubicBezTo>
                <a:pt x="30354" y="124018"/>
                <a:pt x="50410" y="84750"/>
                <a:pt x="29688" y="122052"/>
              </a:cubicBezTo>
              <a:cubicBezTo>
                <a:pt x="27300" y="126351"/>
                <a:pt x="25290" y="130849"/>
                <a:pt x="23091" y="135247"/>
              </a:cubicBezTo>
              <a:cubicBezTo>
                <a:pt x="21991" y="140745"/>
                <a:pt x="21008" y="146267"/>
                <a:pt x="19792" y="151740"/>
              </a:cubicBezTo>
              <a:cubicBezTo>
                <a:pt x="18809" y="156166"/>
                <a:pt x="16494" y="160401"/>
                <a:pt x="16494" y="164935"/>
              </a:cubicBezTo>
              <a:cubicBezTo>
                <a:pt x="16494" y="175588"/>
                <a:pt x="21002" y="179944"/>
                <a:pt x="26390" y="188026"/>
              </a:cubicBezTo>
              <a:cubicBezTo>
                <a:pt x="34563" y="212549"/>
                <a:pt x="25759" y="183613"/>
                <a:pt x="32987" y="234208"/>
              </a:cubicBezTo>
              <a:cubicBezTo>
                <a:pt x="33479" y="237650"/>
                <a:pt x="35186" y="240805"/>
                <a:pt x="36286" y="244104"/>
              </a:cubicBezTo>
              <a:cubicBezTo>
                <a:pt x="37385" y="251801"/>
                <a:pt x="38059" y="259571"/>
                <a:pt x="39584" y="267195"/>
              </a:cubicBezTo>
              <a:cubicBezTo>
                <a:pt x="52313" y="330841"/>
                <a:pt x="41259" y="259128"/>
                <a:pt x="49481" y="316675"/>
              </a:cubicBezTo>
              <a:cubicBezTo>
                <a:pt x="58945" y="288281"/>
                <a:pt x="57765" y="303629"/>
                <a:pt x="49481" y="270493"/>
              </a:cubicBezTo>
              <a:lnTo>
                <a:pt x="46182" y="257298"/>
              </a:lnTo>
              <a:lnTo>
                <a:pt x="42883" y="244104"/>
              </a:lnTo>
              <a:cubicBezTo>
                <a:pt x="43618" y="233085"/>
                <a:pt x="46300" y="181901"/>
                <a:pt x="49481" y="164935"/>
              </a:cubicBezTo>
              <a:cubicBezTo>
                <a:pt x="50956" y="157067"/>
                <a:pt x="54137" y="149610"/>
                <a:pt x="56078" y="141844"/>
              </a:cubicBezTo>
              <a:cubicBezTo>
                <a:pt x="57090" y="137797"/>
                <a:pt x="59446" y="120836"/>
                <a:pt x="62675" y="115454"/>
              </a:cubicBezTo>
              <a:cubicBezTo>
                <a:pt x="64275" y="112787"/>
                <a:pt x="66246" y="109569"/>
                <a:pt x="69273" y="108857"/>
              </a:cubicBezTo>
              <a:cubicBezTo>
                <a:pt x="85470" y="105046"/>
                <a:pt x="102260" y="104459"/>
                <a:pt x="118753" y="102260"/>
              </a:cubicBezTo>
              <a:lnTo>
                <a:pt x="204519" y="65974"/>
              </a:lnTo>
              <a:cubicBezTo>
                <a:pt x="236214" y="52268"/>
                <a:pt x="266615" y="35340"/>
                <a:pt x="300182" y="26389"/>
              </a:cubicBezTo>
              <a:cubicBezTo>
                <a:pt x="306644" y="24666"/>
                <a:pt x="313377" y="24190"/>
                <a:pt x="319974" y="23091"/>
              </a:cubicBezTo>
              <a:cubicBezTo>
                <a:pt x="326058" y="23598"/>
                <a:pt x="359731" y="24262"/>
                <a:pt x="372753" y="29688"/>
              </a:cubicBezTo>
              <a:cubicBezTo>
                <a:pt x="418421" y="48716"/>
                <a:pt x="382584" y="38743"/>
                <a:pt x="412338" y="46182"/>
              </a:cubicBezTo>
              <a:cubicBezTo>
                <a:pt x="415637" y="48381"/>
                <a:pt x="419757" y="49683"/>
                <a:pt x="422234" y="52779"/>
              </a:cubicBezTo>
              <a:cubicBezTo>
                <a:pt x="424406" y="55494"/>
                <a:pt x="425003" y="59238"/>
                <a:pt x="425532" y="62675"/>
              </a:cubicBezTo>
              <a:cubicBezTo>
                <a:pt x="427089" y="72799"/>
                <a:pt x="427830" y="99257"/>
                <a:pt x="432130" y="112156"/>
              </a:cubicBezTo>
              <a:cubicBezTo>
                <a:pt x="434778" y="120100"/>
                <a:pt x="438441" y="127679"/>
                <a:pt x="442026" y="135247"/>
              </a:cubicBezTo>
              <a:cubicBezTo>
                <a:pt x="448341" y="148579"/>
                <a:pt x="457153" y="160836"/>
                <a:pt x="461818" y="174831"/>
              </a:cubicBezTo>
              <a:cubicBezTo>
                <a:pt x="466692" y="189450"/>
                <a:pt x="468896" y="197354"/>
                <a:pt x="475013" y="211117"/>
              </a:cubicBezTo>
              <a:cubicBezTo>
                <a:pt x="484870" y="233297"/>
                <a:pt x="479281" y="214994"/>
                <a:pt x="484909" y="237506"/>
              </a:cubicBezTo>
              <a:cubicBezTo>
                <a:pt x="486009" y="234207"/>
                <a:pt x="488208" y="231087"/>
                <a:pt x="488208" y="227610"/>
              </a:cubicBezTo>
              <a:cubicBezTo>
                <a:pt x="488208" y="223076"/>
                <a:pt x="486155" y="218774"/>
                <a:pt x="484909" y="214415"/>
              </a:cubicBezTo>
              <a:cubicBezTo>
                <a:pt x="482763" y="206904"/>
                <a:pt x="480795" y="200405"/>
                <a:pt x="475013" y="194623"/>
              </a:cubicBezTo>
              <a:cubicBezTo>
                <a:pt x="460530" y="180140"/>
                <a:pt x="465034" y="189369"/>
                <a:pt x="451922" y="178130"/>
              </a:cubicBezTo>
              <a:cubicBezTo>
                <a:pt x="434858" y="163504"/>
                <a:pt x="437398" y="160307"/>
                <a:pt x="418935" y="141844"/>
              </a:cubicBezTo>
              <a:cubicBezTo>
                <a:pt x="383747" y="106655"/>
                <a:pt x="413747" y="143841"/>
                <a:pt x="382649" y="108857"/>
              </a:cubicBezTo>
              <a:cubicBezTo>
                <a:pt x="378996" y="104748"/>
                <a:pt x="376451" y="99730"/>
                <a:pt x="372753" y="95662"/>
              </a:cubicBezTo>
              <a:cubicBezTo>
                <a:pt x="365431" y="87608"/>
                <a:pt x="355700" y="81628"/>
                <a:pt x="349662" y="72571"/>
              </a:cubicBezTo>
              <a:cubicBezTo>
                <a:pt x="347463" y="69272"/>
                <a:pt x="346111" y="65213"/>
                <a:pt x="343065" y="62675"/>
              </a:cubicBezTo>
              <a:cubicBezTo>
                <a:pt x="339287" y="59527"/>
                <a:pt x="334268" y="58277"/>
                <a:pt x="329870" y="56078"/>
              </a:cubicBezTo>
              <a:lnTo>
                <a:pt x="267195" y="59376"/>
              </a:lnTo>
              <a:cubicBezTo>
                <a:pt x="199034" y="64077"/>
                <a:pt x="266315" y="60888"/>
                <a:pt x="207818" y="65974"/>
              </a:cubicBezTo>
              <a:cubicBezTo>
                <a:pt x="191350" y="67406"/>
                <a:pt x="174831" y="68173"/>
                <a:pt x="158338" y="69272"/>
              </a:cubicBezTo>
              <a:cubicBezTo>
                <a:pt x="141038" y="71744"/>
                <a:pt x="132239" y="72818"/>
                <a:pt x="115455" y="75870"/>
              </a:cubicBezTo>
              <a:cubicBezTo>
                <a:pt x="109939" y="76873"/>
                <a:pt x="104331" y="77558"/>
                <a:pt x="98961" y="79169"/>
              </a:cubicBezTo>
              <a:cubicBezTo>
                <a:pt x="81244" y="84484"/>
                <a:pt x="80757" y="88128"/>
                <a:pt x="62675" y="95662"/>
              </a:cubicBezTo>
              <a:cubicBezTo>
                <a:pt x="56256" y="98337"/>
                <a:pt x="49254" y="99473"/>
                <a:pt x="42883" y="102260"/>
              </a:cubicBezTo>
              <a:cubicBezTo>
                <a:pt x="31620" y="107187"/>
                <a:pt x="9896" y="118753"/>
                <a:pt x="9896" y="118753"/>
              </a:cubicBezTo>
              <a:cubicBezTo>
                <a:pt x="6561" y="123756"/>
                <a:pt x="0" y="131718"/>
                <a:pt x="0" y="138545"/>
              </a:cubicBezTo>
              <a:cubicBezTo>
                <a:pt x="0" y="147187"/>
                <a:pt x="3124" y="167711"/>
                <a:pt x="6597" y="178130"/>
              </a:cubicBezTo>
              <a:cubicBezTo>
                <a:pt x="8469" y="183747"/>
                <a:pt x="10996" y="189125"/>
                <a:pt x="13195" y="194623"/>
              </a:cubicBezTo>
              <a:cubicBezTo>
                <a:pt x="14295" y="204519"/>
                <a:pt x="14408" y="214575"/>
                <a:pt x="16494" y="224311"/>
              </a:cubicBezTo>
              <a:cubicBezTo>
                <a:pt x="17735" y="230101"/>
                <a:pt x="21350" y="235145"/>
                <a:pt x="23091" y="240805"/>
              </a:cubicBezTo>
              <a:cubicBezTo>
                <a:pt x="25757" y="249471"/>
                <a:pt x="27910" y="258304"/>
                <a:pt x="29688" y="267195"/>
              </a:cubicBezTo>
              <a:cubicBezTo>
                <a:pt x="30788" y="272693"/>
                <a:pt x="31984" y="278172"/>
                <a:pt x="32987" y="283688"/>
              </a:cubicBezTo>
              <a:cubicBezTo>
                <a:pt x="34944" y="294453"/>
                <a:pt x="36872" y="309125"/>
                <a:pt x="39584" y="319974"/>
              </a:cubicBezTo>
              <a:cubicBezTo>
                <a:pt x="45960" y="345479"/>
                <a:pt x="40099" y="309868"/>
                <a:pt x="46182" y="346363"/>
              </a:cubicBezTo>
              <a:cubicBezTo>
                <a:pt x="53592" y="390818"/>
                <a:pt x="45480" y="349102"/>
                <a:pt x="52779" y="389247"/>
              </a:cubicBezTo>
              <a:cubicBezTo>
                <a:pt x="53782" y="394763"/>
                <a:pt x="54718" y="400301"/>
                <a:pt x="56078" y="405740"/>
              </a:cubicBezTo>
              <a:cubicBezTo>
                <a:pt x="56921" y="409113"/>
                <a:pt x="62854" y="415636"/>
                <a:pt x="59377" y="415636"/>
              </a:cubicBezTo>
              <a:cubicBezTo>
                <a:pt x="55412" y="415636"/>
                <a:pt x="54978" y="409039"/>
                <a:pt x="52779" y="405740"/>
              </a:cubicBezTo>
              <a:cubicBezTo>
                <a:pt x="51680" y="387047"/>
                <a:pt x="51344" y="368294"/>
                <a:pt x="49481" y="349662"/>
              </a:cubicBezTo>
              <a:cubicBezTo>
                <a:pt x="49135" y="346202"/>
                <a:pt x="47137" y="343109"/>
                <a:pt x="46182" y="339766"/>
              </a:cubicBezTo>
              <a:cubicBezTo>
                <a:pt x="44936" y="335407"/>
                <a:pt x="43983" y="330969"/>
                <a:pt x="42883" y="326571"/>
              </a:cubicBezTo>
              <a:cubicBezTo>
                <a:pt x="34637" y="252364"/>
                <a:pt x="35417" y="271244"/>
                <a:pt x="42883" y="141844"/>
              </a:cubicBezTo>
              <a:cubicBezTo>
                <a:pt x="43224" y="135932"/>
                <a:pt x="46833" y="130646"/>
                <a:pt x="49481" y="125350"/>
              </a:cubicBezTo>
              <a:cubicBezTo>
                <a:pt x="51254" y="121804"/>
                <a:pt x="53275" y="118257"/>
                <a:pt x="56078" y="115454"/>
              </a:cubicBezTo>
              <a:cubicBezTo>
                <a:pt x="64765" y="106767"/>
                <a:pt x="74484" y="107011"/>
                <a:pt x="85766" y="102260"/>
              </a:cubicBezTo>
              <a:cubicBezTo>
                <a:pt x="100276" y="96151"/>
                <a:pt x="114063" y="88393"/>
                <a:pt x="128649" y="82467"/>
              </a:cubicBezTo>
              <a:cubicBezTo>
                <a:pt x="149277" y="74087"/>
                <a:pt x="170094" y="66081"/>
                <a:pt x="191325" y="59376"/>
              </a:cubicBezTo>
              <a:cubicBezTo>
                <a:pt x="222118" y="49652"/>
                <a:pt x="270305" y="38516"/>
                <a:pt x="303481" y="32987"/>
              </a:cubicBezTo>
              <a:cubicBezTo>
                <a:pt x="313302" y="31350"/>
                <a:pt x="323289" y="30923"/>
                <a:pt x="333169" y="29688"/>
              </a:cubicBezTo>
              <a:cubicBezTo>
                <a:pt x="340884" y="28724"/>
                <a:pt x="348563" y="27489"/>
                <a:pt x="356260" y="26389"/>
              </a:cubicBezTo>
              <a:cubicBezTo>
                <a:pt x="408448" y="33845"/>
                <a:pt x="363117" y="20095"/>
                <a:pt x="382649" y="42883"/>
              </a:cubicBezTo>
              <a:cubicBezTo>
                <a:pt x="392934" y="54882"/>
                <a:pt x="398045" y="50581"/>
                <a:pt x="409039" y="56078"/>
              </a:cubicBezTo>
              <a:cubicBezTo>
                <a:pt x="412585" y="57851"/>
                <a:pt x="415636" y="60476"/>
                <a:pt x="418935" y="62675"/>
              </a:cubicBezTo>
              <a:cubicBezTo>
                <a:pt x="421134" y="65974"/>
                <a:pt x="423055" y="69475"/>
                <a:pt x="425532" y="72571"/>
              </a:cubicBezTo>
              <a:cubicBezTo>
                <a:pt x="427475" y="75000"/>
                <a:pt x="430405" y="76581"/>
                <a:pt x="432130" y="79169"/>
              </a:cubicBezTo>
              <a:cubicBezTo>
                <a:pt x="434858" y="83260"/>
                <a:pt x="436528" y="87965"/>
                <a:pt x="438727" y="92363"/>
              </a:cubicBezTo>
              <a:cubicBezTo>
                <a:pt x="439827" y="97861"/>
                <a:pt x="440057" y="103607"/>
                <a:pt x="442026" y="108857"/>
              </a:cubicBezTo>
              <a:cubicBezTo>
                <a:pt x="443418" y="112569"/>
                <a:pt x="446725" y="115273"/>
                <a:pt x="448623" y="118753"/>
              </a:cubicBezTo>
              <a:cubicBezTo>
                <a:pt x="453332" y="127387"/>
                <a:pt x="457419" y="136346"/>
                <a:pt x="461818" y="145143"/>
              </a:cubicBezTo>
              <a:cubicBezTo>
                <a:pt x="461824" y="145154"/>
                <a:pt x="475009" y="171520"/>
                <a:pt x="475013" y="171532"/>
              </a:cubicBezTo>
              <a:cubicBezTo>
                <a:pt x="476113" y="174831"/>
                <a:pt x="476757" y="178318"/>
                <a:pt x="478312" y="181428"/>
              </a:cubicBezTo>
              <a:cubicBezTo>
                <a:pt x="482473" y="189750"/>
                <a:pt x="485370" y="191785"/>
                <a:pt x="491506" y="197922"/>
              </a:cubicBezTo>
              <a:lnTo>
                <a:pt x="498104" y="217714"/>
              </a:lnTo>
              <a:cubicBezTo>
                <a:pt x="499204" y="221013"/>
                <a:pt x="498944" y="225151"/>
                <a:pt x="501403" y="227610"/>
              </a:cubicBezTo>
              <a:cubicBezTo>
                <a:pt x="503602" y="229809"/>
                <a:pt x="506275" y="231620"/>
                <a:pt x="508000" y="234208"/>
              </a:cubicBezTo>
              <a:cubicBezTo>
                <a:pt x="510727" y="238299"/>
                <a:pt x="512660" y="242882"/>
                <a:pt x="514597" y="247402"/>
              </a:cubicBezTo>
              <a:cubicBezTo>
                <a:pt x="515967" y="250598"/>
                <a:pt x="520355" y="259757"/>
                <a:pt x="517896" y="257298"/>
              </a:cubicBezTo>
              <a:cubicBezTo>
                <a:pt x="512289" y="251691"/>
                <a:pt x="504701" y="237506"/>
                <a:pt x="504701" y="237506"/>
              </a:cubicBezTo>
              <a:cubicBezTo>
                <a:pt x="497057" y="206922"/>
                <a:pt x="507133" y="243178"/>
                <a:pt x="484909" y="191324"/>
              </a:cubicBezTo>
              <a:cubicBezTo>
                <a:pt x="481610" y="183627"/>
                <a:pt x="479168" y="175504"/>
                <a:pt x="475013" y="168234"/>
              </a:cubicBezTo>
              <a:cubicBezTo>
                <a:pt x="470320" y="160021"/>
                <a:pt x="463570" y="153140"/>
                <a:pt x="458519" y="145143"/>
              </a:cubicBezTo>
              <a:cubicBezTo>
                <a:pt x="450362" y="132227"/>
                <a:pt x="443903" y="118268"/>
                <a:pt x="435429" y="105558"/>
              </a:cubicBezTo>
              <a:cubicBezTo>
                <a:pt x="433230" y="102259"/>
                <a:pt x="431210" y="98834"/>
                <a:pt x="428831" y="95662"/>
              </a:cubicBezTo>
              <a:cubicBezTo>
                <a:pt x="424606" y="90030"/>
                <a:pt x="419860" y="84802"/>
                <a:pt x="415636" y="79169"/>
              </a:cubicBezTo>
              <a:cubicBezTo>
                <a:pt x="413257" y="75997"/>
                <a:pt x="411842" y="72076"/>
                <a:pt x="409039" y="69272"/>
              </a:cubicBezTo>
              <a:cubicBezTo>
                <a:pt x="404948" y="65180"/>
                <a:pt x="391567" y="56525"/>
                <a:pt x="385948" y="52779"/>
              </a:cubicBezTo>
              <a:cubicBezTo>
                <a:pt x="282427" y="57956"/>
                <a:pt x="356543" y="53518"/>
                <a:pt x="280390" y="59376"/>
              </a:cubicBezTo>
              <a:lnTo>
                <a:pt x="194623" y="65974"/>
              </a:lnTo>
              <a:cubicBezTo>
                <a:pt x="181350" y="67633"/>
                <a:pt x="168281" y="70679"/>
                <a:pt x="155039" y="72571"/>
              </a:cubicBezTo>
              <a:cubicBezTo>
                <a:pt x="145182" y="73979"/>
                <a:pt x="135247" y="74770"/>
                <a:pt x="125351" y="75870"/>
              </a:cubicBezTo>
              <a:cubicBezTo>
                <a:pt x="119853" y="78069"/>
                <a:pt x="114529" y="80765"/>
                <a:pt x="108857" y="82467"/>
              </a:cubicBezTo>
              <a:cubicBezTo>
                <a:pt x="103487" y="84078"/>
                <a:pt x="97837" y="84550"/>
                <a:pt x="92364" y="85766"/>
              </a:cubicBezTo>
              <a:cubicBezTo>
                <a:pt x="79941" y="88527"/>
                <a:pt x="80291" y="88691"/>
                <a:pt x="69273" y="92363"/>
              </a:cubicBezTo>
              <a:cubicBezTo>
                <a:pt x="70372" y="102259"/>
                <a:pt x="71163" y="112195"/>
                <a:pt x="72571" y="122052"/>
              </a:cubicBezTo>
              <a:cubicBezTo>
                <a:pt x="73364" y="127602"/>
                <a:pt x="75870" y="132938"/>
                <a:pt x="75870" y="138545"/>
              </a:cubicBezTo>
              <a:cubicBezTo>
                <a:pt x="75870" y="178145"/>
                <a:pt x="74369" y="217739"/>
                <a:pt x="72571" y="257298"/>
              </a:cubicBezTo>
              <a:cubicBezTo>
                <a:pt x="72168" y="266154"/>
                <a:pt x="70527" y="274912"/>
                <a:pt x="69273" y="283688"/>
              </a:cubicBezTo>
              <a:cubicBezTo>
                <a:pt x="67164" y="298452"/>
                <a:pt x="65515" y="305773"/>
                <a:pt x="62675" y="319974"/>
              </a:cubicBezTo>
              <a:cubicBezTo>
                <a:pt x="63775" y="350762"/>
                <a:pt x="56231" y="383111"/>
                <a:pt x="65974" y="412337"/>
              </a:cubicBezTo>
              <a:cubicBezTo>
                <a:pt x="73632" y="435309"/>
                <a:pt x="67763" y="363934"/>
                <a:pt x="69273" y="339766"/>
              </a:cubicBezTo>
              <a:cubicBezTo>
                <a:pt x="69962" y="328737"/>
                <a:pt x="71472" y="317775"/>
                <a:pt x="72571" y="306779"/>
              </a:cubicBezTo>
              <a:cubicBezTo>
                <a:pt x="73671" y="267195"/>
                <a:pt x="73892" y="227576"/>
                <a:pt x="75870" y="188026"/>
              </a:cubicBezTo>
              <a:cubicBezTo>
                <a:pt x="76397" y="177478"/>
                <a:pt x="92228" y="142116"/>
                <a:pt x="92364" y="141844"/>
              </a:cubicBezTo>
              <a:cubicBezTo>
                <a:pt x="96762" y="133047"/>
                <a:pt x="103172" y="124995"/>
                <a:pt x="105558" y="115454"/>
              </a:cubicBezTo>
              <a:cubicBezTo>
                <a:pt x="110050" y="97489"/>
                <a:pt x="106829" y="106315"/>
                <a:pt x="115455" y="89065"/>
              </a:cubicBezTo>
              <a:cubicBezTo>
                <a:pt x="122319" y="61602"/>
                <a:pt x="113960" y="88756"/>
                <a:pt x="125351" y="65974"/>
              </a:cubicBezTo>
              <a:cubicBezTo>
                <a:pt x="130314" y="56048"/>
                <a:pt x="125581" y="55924"/>
                <a:pt x="135247" y="49480"/>
              </a:cubicBezTo>
              <a:cubicBezTo>
                <a:pt x="139339" y="46752"/>
                <a:pt x="144044" y="45082"/>
                <a:pt x="148442" y="42883"/>
              </a:cubicBezTo>
              <a:cubicBezTo>
                <a:pt x="160646" y="30677"/>
                <a:pt x="152449" y="38012"/>
                <a:pt x="174831" y="23091"/>
              </a:cubicBezTo>
              <a:lnTo>
                <a:pt x="184727" y="16493"/>
              </a:lnTo>
              <a:cubicBezTo>
                <a:pt x="172632" y="15394"/>
                <a:pt x="160120" y="16531"/>
                <a:pt x="148442" y="13195"/>
              </a:cubicBezTo>
              <a:cubicBezTo>
                <a:pt x="144083" y="11950"/>
                <a:pt x="157391" y="11488"/>
                <a:pt x="161636" y="9896"/>
              </a:cubicBezTo>
              <a:cubicBezTo>
                <a:pt x="196122" y="-3038"/>
                <a:pt x="154170" y="8462"/>
                <a:pt x="188026" y="0"/>
              </a:cubicBezTo>
              <a:lnTo>
                <a:pt x="293584" y="3298"/>
              </a:lnTo>
              <a:cubicBezTo>
                <a:pt x="321113" y="4578"/>
                <a:pt x="328410" y="6622"/>
                <a:pt x="352961" y="9896"/>
              </a:cubicBezTo>
              <a:lnTo>
                <a:pt x="379351" y="13195"/>
              </a:lnTo>
              <a:cubicBezTo>
                <a:pt x="373217" y="43859"/>
                <a:pt x="371627" y="43141"/>
                <a:pt x="382649" y="89065"/>
              </a:cubicBezTo>
              <a:cubicBezTo>
                <a:pt x="384381" y="96282"/>
                <a:pt x="414222" y="139931"/>
                <a:pt x="415636" y="141844"/>
              </a:cubicBezTo>
              <a:cubicBezTo>
                <a:pt x="427273" y="157588"/>
                <a:pt x="441849" y="171239"/>
                <a:pt x="451922" y="188026"/>
              </a:cubicBezTo>
              <a:cubicBezTo>
                <a:pt x="455221" y="193524"/>
                <a:pt x="457813" y="199513"/>
                <a:pt x="461818" y="204519"/>
              </a:cubicBezTo>
              <a:cubicBezTo>
                <a:pt x="466675" y="210590"/>
                <a:pt x="473999" y="214543"/>
                <a:pt x="478312" y="221013"/>
              </a:cubicBezTo>
              <a:cubicBezTo>
                <a:pt x="482710" y="227610"/>
                <a:pt x="485899" y="235199"/>
                <a:pt x="491506" y="240805"/>
              </a:cubicBezTo>
              <a:cubicBezTo>
                <a:pt x="498882" y="248180"/>
                <a:pt x="498104" y="244292"/>
                <a:pt x="498104" y="25070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640861</xdr:colOff>
      <xdr:row>74</xdr:row>
      <xdr:rowOff>183661</xdr:rowOff>
    </xdr:from>
    <xdr:to>
      <xdr:col>4</xdr:col>
      <xdr:colOff>23446</xdr:colOff>
      <xdr:row>77</xdr:row>
      <xdr:rowOff>105508</xdr:rowOff>
    </xdr:to>
    <xdr:sp macro="" textlink="">
      <xdr:nvSpPr>
        <xdr:cNvPr id="59" name="Rounded Rectangular Callout 58">
          <a:extLst>
            <a:ext uri="{FF2B5EF4-FFF2-40B4-BE49-F238E27FC236}">
              <a16:creationId xmlns:a16="http://schemas.microsoft.com/office/drawing/2014/main" id="{30D94E69-7031-CA10-5FFC-60976F5F1B25}"/>
            </a:ext>
          </a:extLst>
        </xdr:cNvPr>
        <xdr:cNvSpPr/>
      </xdr:nvSpPr>
      <xdr:spPr>
        <a:xfrm>
          <a:off x="13505664554" y="15220461"/>
          <a:ext cx="1856154" cy="531447"/>
        </a:xfrm>
        <a:prstGeom prst="wedgeRoundRectCallout">
          <a:avLst>
            <a:gd name="adj1" fmla="val 57694"/>
            <a:gd name="adj2" fmla="val 674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שווי הנכס היום הוא כ-2,229,244</a:t>
          </a:r>
          <a:r>
            <a:rPr lang="he-IL" sz="1100" baseline="0"/>
            <a:t> ש״ח</a:t>
          </a:r>
          <a:endParaRPr lang="en-US" sz="1100"/>
        </a:p>
      </xdr:txBody>
    </xdr:sp>
    <xdr:clientData/>
  </xdr:twoCellAnchor>
  <xdr:twoCellAnchor>
    <xdr:from>
      <xdr:col>6</xdr:col>
      <xdr:colOff>117948</xdr:colOff>
      <xdr:row>80</xdr:row>
      <xdr:rowOff>3908</xdr:rowOff>
    </xdr:from>
    <xdr:to>
      <xdr:col>7</xdr:col>
      <xdr:colOff>806937</xdr:colOff>
      <xdr:row>86</xdr:row>
      <xdr:rowOff>143608</xdr:rowOff>
    </xdr:to>
    <xdr:grpSp>
      <xdr:nvGrpSpPr>
        <xdr:cNvPr id="67" name="Group 66">
          <a:extLst>
            <a:ext uri="{FF2B5EF4-FFF2-40B4-BE49-F238E27FC236}">
              <a16:creationId xmlns:a16="http://schemas.microsoft.com/office/drawing/2014/main" id="{BB8ACCEE-70E9-3A67-851E-79F88E4DA007}"/>
            </a:ext>
          </a:extLst>
        </xdr:cNvPr>
        <xdr:cNvGrpSpPr/>
      </xdr:nvGrpSpPr>
      <xdr:grpSpPr>
        <a:xfrm>
          <a:off x="13553460704" y="16366455"/>
          <a:ext cx="1516629" cy="1366891"/>
          <a:chOff x="13502407493" y="16259908"/>
          <a:chExt cx="1513513" cy="1358900"/>
        </a:xfrm>
      </xdr:grpSpPr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2B2CCF5E-528E-B83B-F3FA-7F9104C80D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61" name="Freeform 60">
            <a:extLst>
              <a:ext uri="{FF2B5EF4-FFF2-40B4-BE49-F238E27FC236}">
                <a16:creationId xmlns:a16="http://schemas.microsoft.com/office/drawing/2014/main" id="{27008921-B51F-FB22-1D2F-BE21FFB41A53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62" name="Picture 61">
            <a:extLst>
              <a:ext uri="{FF2B5EF4-FFF2-40B4-BE49-F238E27FC236}">
                <a16:creationId xmlns:a16="http://schemas.microsoft.com/office/drawing/2014/main" id="{1478BECB-31BB-749B-9844-6F018BE1BB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19538</xdr:colOff>
      <xdr:row>96</xdr:row>
      <xdr:rowOff>136769</xdr:rowOff>
    </xdr:from>
    <xdr:to>
      <xdr:col>10</xdr:col>
      <xdr:colOff>85968</xdr:colOff>
      <xdr:row>96</xdr:row>
      <xdr:rowOff>140677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7D1D153B-B701-8F2A-16F4-A88C2AE3929F}"/>
            </a:ext>
          </a:extLst>
        </xdr:cNvPr>
        <xdr:cNvCxnSpPr/>
      </xdr:nvCxnSpPr>
      <xdr:spPr>
        <a:xfrm>
          <a:off x="13500654893" y="19034369"/>
          <a:ext cx="8311661" cy="3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160215</xdr:colOff>
      <xdr:row>91</xdr:row>
      <xdr:rowOff>171938</xdr:rowOff>
    </xdr:from>
    <xdr:to>
      <xdr:col>9</xdr:col>
      <xdr:colOff>642814</xdr:colOff>
      <xdr:row>94</xdr:row>
      <xdr:rowOff>124068</xdr:rowOff>
    </xdr:to>
    <xdr:grpSp>
      <xdr:nvGrpSpPr>
        <xdr:cNvPr id="68" name="Group 67">
          <a:extLst>
            <a:ext uri="{FF2B5EF4-FFF2-40B4-BE49-F238E27FC236}">
              <a16:creationId xmlns:a16="http://schemas.microsoft.com/office/drawing/2014/main" id="{951C2A0C-29E7-9142-2FD2-D653318414F4}"/>
            </a:ext>
          </a:extLst>
        </xdr:cNvPr>
        <xdr:cNvGrpSpPr/>
      </xdr:nvGrpSpPr>
      <xdr:grpSpPr>
        <a:xfrm>
          <a:off x="13551969546" y="18784335"/>
          <a:ext cx="482599" cy="565726"/>
          <a:chOff x="13502407493" y="16259908"/>
          <a:chExt cx="1513513" cy="1358900"/>
        </a:xfrm>
      </xdr:grpSpPr>
      <xdr:pic>
        <xdr:nvPicPr>
          <xdr:cNvPr id="69" name="Picture 68">
            <a:extLst>
              <a:ext uri="{FF2B5EF4-FFF2-40B4-BE49-F238E27FC236}">
                <a16:creationId xmlns:a16="http://schemas.microsoft.com/office/drawing/2014/main" id="{CAB3A056-A42C-0679-DC31-A8C43F03D7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70" name="Freeform 69">
            <a:extLst>
              <a:ext uri="{FF2B5EF4-FFF2-40B4-BE49-F238E27FC236}">
                <a16:creationId xmlns:a16="http://schemas.microsoft.com/office/drawing/2014/main" id="{A6ACD0B6-D316-D050-9772-B64AC6674727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71" name="Picture 70">
            <a:extLst>
              <a:ext uri="{FF2B5EF4-FFF2-40B4-BE49-F238E27FC236}">
                <a16:creationId xmlns:a16="http://schemas.microsoft.com/office/drawing/2014/main" id="{A0277078-82E6-CAD7-5ADF-CE1AFB2623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437659</xdr:colOff>
      <xdr:row>96</xdr:row>
      <xdr:rowOff>72290</xdr:rowOff>
    </xdr:from>
    <xdr:to>
      <xdr:col>6</xdr:col>
      <xdr:colOff>797166</xdr:colOff>
      <xdr:row>97</xdr:row>
      <xdr:rowOff>148491</xdr:rowOff>
    </xdr:to>
    <xdr:sp macro="" textlink="">
      <xdr:nvSpPr>
        <xdr:cNvPr id="74" name="Left Brace 73">
          <a:extLst>
            <a:ext uri="{FF2B5EF4-FFF2-40B4-BE49-F238E27FC236}">
              <a16:creationId xmlns:a16="http://schemas.microsoft.com/office/drawing/2014/main" id="{234F504C-2647-389A-4EAB-1ECF99346DEC}"/>
            </a:ext>
          </a:extLst>
        </xdr:cNvPr>
        <xdr:cNvSpPr/>
      </xdr:nvSpPr>
      <xdr:spPr>
        <a:xfrm rot="16200000">
          <a:off x="13503694102" y="18517576"/>
          <a:ext cx="279401" cy="118403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445477</xdr:colOff>
      <xdr:row>91</xdr:row>
      <xdr:rowOff>105511</xdr:rowOff>
    </xdr:from>
    <xdr:to>
      <xdr:col>7</xdr:col>
      <xdr:colOff>312614</xdr:colOff>
      <xdr:row>93</xdr:row>
      <xdr:rowOff>23452</xdr:rowOff>
    </xdr:to>
    <xdr:sp macro="" textlink="">
      <xdr:nvSpPr>
        <xdr:cNvPr id="75" name="Left Brace 74">
          <a:extLst>
            <a:ext uri="{FF2B5EF4-FFF2-40B4-BE49-F238E27FC236}">
              <a16:creationId xmlns:a16="http://schemas.microsoft.com/office/drawing/2014/main" id="{21962839-CEBD-E986-D28D-110AF747E3C5}"/>
            </a:ext>
          </a:extLst>
        </xdr:cNvPr>
        <xdr:cNvSpPr/>
      </xdr:nvSpPr>
      <xdr:spPr>
        <a:xfrm rot="5400000">
          <a:off x="13503497737" y="18000790"/>
          <a:ext cx="324341" cy="151618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406400</xdr:colOff>
      <xdr:row>89</xdr:row>
      <xdr:rowOff>199297</xdr:rowOff>
    </xdr:from>
    <xdr:to>
      <xdr:col>9</xdr:col>
      <xdr:colOff>461107</xdr:colOff>
      <xdr:row>91</xdr:row>
      <xdr:rowOff>128957</xdr:rowOff>
    </xdr:to>
    <xdr:sp macro="" textlink="">
      <xdr:nvSpPr>
        <xdr:cNvPr id="76" name="Left Brace 75">
          <a:extLst>
            <a:ext uri="{FF2B5EF4-FFF2-40B4-BE49-F238E27FC236}">
              <a16:creationId xmlns:a16="http://schemas.microsoft.com/office/drawing/2014/main" id="{ABB98D25-0A13-D34E-C4C8-0EE9BF9ECED7}"/>
            </a:ext>
          </a:extLst>
        </xdr:cNvPr>
        <xdr:cNvSpPr/>
      </xdr:nvSpPr>
      <xdr:spPr>
        <a:xfrm rot="5400000">
          <a:off x="13501788124" y="17600250"/>
          <a:ext cx="336060" cy="170375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125048</xdr:colOff>
      <xdr:row>91</xdr:row>
      <xdr:rowOff>117236</xdr:rowOff>
    </xdr:from>
    <xdr:to>
      <xdr:col>5</xdr:col>
      <xdr:colOff>140678</xdr:colOff>
      <xdr:row>93</xdr:row>
      <xdr:rowOff>58615</xdr:rowOff>
    </xdr:to>
    <xdr:sp macro="" textlink="">
      <xdr:nvSpPr>
        <xdr:cNvPr id="77" name="Left Brace 76">
          <a:extLst>
            <a:ext uri="{FF2B5EF4-FFF2-40B4-BE49-F238E27FC236}">
              <a16:creationId xmlns:a16="http://schemas.microsoft.com/office/drawing/2014/main" id="{4041EDE0-01EA-9127-21E0-0946F05FAC9E}"/>
            </a:ext>
          </a:extLst>
        </xdr:cNvPr>
        <xdr:cNvSpPr/>
      </xdr:nvSpPr>
      <xdr:spPr>
        <a:xfrm rot="5400000">
          <a:off x="13504968986" y="18362249"/>
          <a:ext cx="347779" cy="84015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296985</xdr:colOff>
      <xdr:row>91</xdr:row>
      <xdr:rowOff>171945</xdr:rowOff>
    </xdr:from>
    <xdr:to>
      <xdr:col>3</xdr:col>
      <xdr:colOff>597879</xdr:colOff>
      <xdr:row>93</xdr:row>
      <xdr:rowOff>70339</xdr:rowOff>
    </xdr:to>
    <xdr:sp macro="" textlink="">
      <xdr:nvSpPr>
        <xdr:cNvPr id="78" name="Left Brace 77">
          <a:extLst>
            <a:ext uri="{FF2B5EF4-FFF2-40B4-BE49-F238E27FC236}">
              <a16:creationId xmlns:a16="http://schemas.microsoft.com/office/drawing/2014/main" id="{5834A417-A7E3-40C3-E9EB-603352230EA7}"/>
            </a:ext>
          </a:extLst>
        </xdr:cNvPr>
        <xdr:cNvSpPr/>
      </xdr:nvSpPr>
      <xdr:spPr>
        <a:xfrm rot="5400000">
          <a:off x="13506324956" y="18252833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402493</xdr:colOff>
      <xdr:row>91</xdr:row>
      <xdr:rowOff>85977</xdr:rowOff>
    </xdr:from>
    <xdr:to>
      <xdr:col>1</xdr:col>
      <xdr:colOff>703387</xdr:colOff>
      <xdr:row>92</xdr:row>
      <xdr:rowOff>187571</xdr:rowOff>
    </xdr:to>
    <xdr:sp macro="" textlink="">
      <xdr:nvSpPr>
        <xdr:cNvPr id="79" name="Left Brace 78">
          <a:extLst>
            <a:ext uri="{FF2B5EF4-FFF2-40B4-BE49-F238E27FC236}">
              <a16:creationId xmlns:a16="http://schemas.microsoft.com/office/drawing/2014/main" id="{971AB15E-3B1F-4625-9715-0D2BB3D39123}"/>
            </a:ext>
          </a:extLst>
        </xdr:cNvPr>
        <xdr:cNvSpPr/>
      </xdr:nvSpPr>
      <xdr:spPr>
        <a:xfrm rot="5400000">
          <a:off x="13507868494" y="18166865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336062</xdr:colOff>
      <xdr:row>97</xdr:row>
      <xdr:rowOff>177799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20C49B78-77A2-BE41-E32A-A0F193AACC17}"/>
                </a:ext>
              </a:extLst>
            </xdr:cNvPr>
            <xdr:cNvSpPr txBox="1"/>
          </xdr:nvSpPr>
          <xdr:spPr>
            <a:xfrm>
              <a:off x="13503152907" y="19888199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20C49B78-77A2-BE41-E32A-A0F193AACC17}"/>
                </a:ext>
              </a:extLst>
            </xdr:cNvPr>
            <xdr:cNvSpPr txBox="1"/>
          </xdr:nvSpPr>
          <xdr:spPr>
            <a:xfrm>
              <a:off x="13503152907" y="19888199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𝑃𝑀𝑇=30,000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336062</xdr:colOff>
      <xdr:row>99</xdr:row>
      <xdr:rowOff>9768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EF08D69-80B6-EC5D-638E-038045B461C7}"/>
                </a:ext>
              </a:extLst>
            </xdr:cNvPr>
            <xdr:cNvSpPr txBox="1"/>
          </xdr:nvSpPr>
          <xdr:spPr>
            <a:xfrm>
              <a:off x="13503152907" y="2012656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=5∗12=60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8EF08D69-80B6-EC5D-638E-038045B461C7}"/>
                </a:ext>
              </a:extLst>
            </xdr:cNvPr>
            <xdr:cNvSpPr txBox="1"/>
          </xdr:nvSpPr>
          <xdr:spPr>
            <a:xfrm>
              <a:off x="13503152907" y="2012656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𝑛=5∗12=60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347785</xdr:colOff>
      <xdr:row>100</xdr:row>
      <xdr:rowOff>17584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18483CF-B732-FFB7-2398-76E3C294C924}"/>
                </a:ext>
              </a:extLst>
            </xdr:cNvPr>
            <xdr:cNvSpPr txBox="1"/>
          </xdr:nvSpPr>
          <xdr:spPr>
            <a:xfrm>
              <a:off x="13503141184" y="20337584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18483CF-B732-FFB7-2398-76E3C294C924}"/>
                </a:ext>
              </a:extLst>
            </xdr:cNvPr>
            <xdr:cNvSpPr txBox="1"/>
          </xdr:nvSpPr>
          <xdr:spPr>
            <a:xfrm>
              <a:off x="13503141184" y="20337584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203200</xdr:colOff>
      <xdr:row>96</xdr:row>
      <xdr:rowOff>70346</xdr:rowOff>
    </xdr:from>
    <xdr:to>
      <xdr:col>3</xdr:col>
      <xdr:colOff>504094</xdr:colOff>
      <xdr:row>97</xdr:row>
      <xdr:rowOff>171940</xdr:rowOff>
    </xdr:to>
    <xdr:sp macro="" textlink="">
      <xdr:nvSpPr>
        <xdr:cNvPr id="83" name="Left Brace 82">
          <a:extLst>
            <a:ext uri="{FF2B5EF4-FFF2-40B4-BE49-F238E27FC236}">
              <a16:creationId xmlns:a16="http://schemas.microsoft.com/office/drawing/2014/main" id="{5A1D6BC6-3214-0389-F430-C19CA168C88E}"/>
            </a:ext>
          </a:extLst>
        </xdr:cNvPr>
        <xdr:cNvSpPr/>
      </xdr:nvSpPr>
      <xdr:spPr>
        <a:xfrm rot="16200000">
          <a:off x="13506418741" y="19167234"/>
          <a:ext cx="304794" cy="11254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128954</xdr:colOff>
      <xdr:row>97</xdr:row>
      <xdr:rowOff>189523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57B06B42-6C44-61F8-9224-3B8C4C49D8E8}"/>
                </a:ext>
              </a:extLst>
            </xdr:cNvPr>
            <xdr:cNvSpPr txBox="1"/>
          </xdr:nvSpPr>
          <xdr:spPr>
            <a:xfrm>
              <a:off x="13505833584" y="19899923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57B06B42-6C44-61F8-9224-3B8C4C49D8E8}"/>
                </a:ext>
              </a:extLst>
            </xdr:cNvPr>
            <xdr:cNvSpPr txBox="1"/>
          </xdr:nvSpPr>
          <xdr:spPr>
            <a:xfrm>
              <a:off x="13505833584" y="19899923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𝑃𝑀𝑇=20,000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113323</xdr:colOff>
      <xdr:row>98</xdr:row>
      <xdr:rowOff>185615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6CB65BB-B50F-CAF8-C6A1-CE78AD2C82CA}"/>
                </a:ext>
              </a:extLst>
            </xdr:cNvPr>
            <xdr:cNvSpPr txBox="1"/>
          </xdr:nvSpPr>
          <xdr:spPr>
            <a:xfrm>
              <a:off x="13505849215" y="20099215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=2∗12=24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56CB65BB-B50F-CAF8-C6A1-CE78AD2C82CA}"/>
                </a:ext>
              </a:extLst>
            </xdr:cNvPr>
            <xdr:cNvSpPr txBox="1"/>
          </xdr:nvSpPr>
          <xdr:spPr>
            <a:xfrm>
              <a:off x="13505849215" y="20099215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𝑛=2∗12=24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128954</xdr:colOff>
      <xdr:row>99</xdr:row>
      <xdr:rowOff>197338</xdr:rowOff>
    </xdr:from>
    <xdr:ext cx="137450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4C03030E-75DF-CECF-D824-D6FAE9BE2F80}"/>
                </a:ext>
              </a:extLst>
            </xdr:cNvPr>
            <xdr:cNvSpPr txBox="1"/>
          </xdr:nvSpPr>
          <xdr:spPr>
            <a:xfrm>
              <a:off x="13505833584" y="2031413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4C03030E-75DF-CECF-D824-D6FAE9BE2F80}"/>
                </a:ext>
              </a:extLst>
            </xdr:cNvPr>
            <xdr:cNvSpPr txBox="1"/>
          </xdr:nvSpPr>
          <xdr:spPr>
            <a:xfrm>
              <a:off x="13505833584" y="20314138"/>
              <a:ext cx="137450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96</xdr:row>
      <xdr:rowOff>181707</xdr:rowOff>
    </xdr:from>
    <xdr:ext cx="1066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7A222AF-32A4-DD5A-EE39-07804FB54304}"/>
                </a:ext>
              </a:extLst>
            </xdr:cNvPr>
            <xdr:cNvSpPr txBox="1"/>
          </xdr:nvSpPr>
          <xdr:spPr>
            <a:xfrm>
              <a:off x="13507919292" y="19688907"/>
              <a:ext cx="1066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=5,000,000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7A222AF-32A4-DD5A-EE39-07804FB54304}"/>
                </a:ext>
              </a:extLst>
            </xdr:cNvPr>
            <xdr:cNvSpPr txBox="1"/>
          </xdr:nvSpPr>
          <xdr:spPr>
            <a:xfrm>
              <a:off x="13507919292" y="19688907"/>
              <a:ext cx="1066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𝐹𝑉=5,000,000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644769</xdr:colOff>
      <xdr:row>95</xdr:row>
      <xdr:rowOff>15631</xdr:rowOff>
    </xdr:from>
    <xdr:to>
      <xdr:col>1</xdr:col>
      <xdr:colOff>593969</xdr:colOff>
      <xdr:row>96</xdr:row>
      <xdr:rowOff>35169</xdr:rowOff>
    </xdr:to>
    <xdr:sp macro="" textlink="">
      <xdr:nvSpPr>
        <xdr:cNvPr id="88" name="Rounded Rectangle 87">
          <a:extLst>
            <a:ext uri="{FF2B5EF4-FFF2-40B4-BE49-F238E27FC236}">
              <a16:creationId xmlns:a16="http://schemas.microsoft.com/office/drawing/2014/main" id="{2D502D86-98F1-6F77-3AC2-3911F1BB6770}"/>
            </a:ext>
          </a:extLst>
        </xdr:cNvPr>
        <xdr:cNvSpPr/>
      </xdr:nvSpPr>
      <xdr:spPr>
        <a:xfrm>
          <a:off x="13507567600" y="19319631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א</a:t>
          </a:r>
          <a:endParaRPr lang="en-US" sz="1100"/>
        </a:p>
      </xdr:txBody>
    </xdr:sp>
    <xdr:clientData/>
  </xdr:twoCellAnchor>
  <xdr:twoCellAnchor>
    <xdr:from>
      <xdr:col>2</xdr:col>
      <xdr:colOff>449384</xdr:colOff>
      <xdr:row>95</xdr:row>
      <xdr:rowOff>31261</xdr:rowOff>
    </xdr:from>
    <xdr:to>
      <xdr:col>3</xdr:col>
      <xdr:colOff>398584</xdr:colOff>
      <xdr:row>96</xdr:row>
      <xdr:rowOff>50799</xdr:rowOff>
    </xdr:to>
    <xdr:sp macro="" textlink="">
      <xdr:nvSpPr>
        <xdr:cNvPr id="89" name="Rounded Rectangle 88">
          <a:extLst>
            <a:ext uri="{FF2B5EF4-FFF2-40B4-BE49-F238E27FC236}">
              <a16:creationId xmlns:a16="http://schemas.microsoft.com/office/drawing/2014/main" id="{84663F93-9F99-FEF0-87A6-8758E87E4617}"/>
            </a:ext>
          </a:extLst>
        </xdr:cNvPr>
        <xdr:cNvSpPr/>
      </xdr:nvSpPr>
      <xdr:spPr>
        <a:xfrm>
          <a:off x="13506113939" y="19335261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ב</a:t>
          </a:r>
          <a:endParaRPr lang="en-US" sz="1100"/>
        </a:p>
      </xdr:txBody>
    </xdr:sp>
    <xdr:clientData/>
  </xdr:twoCellAnchor>
  <xdr:twoCellAnchor>
    <xdr:from>
      <xdr:col>4</xdr:col>
      <xdr:colOff>246184</xdr:colOff>
      <xdr:row>95</xdr:row>
      <xdr:rowOff>58614</xdr:rowOff>
    </xdr:from>
    <xdr:to>
      <xdr:col>5</xdr:col>
      <xdr:colOff>195384</xdr:colOff>
      <xdr:row>96</xdr:row>
      <xdr:rowOff>78152</xdr:rowOff>
    </xdr:to>
    <xdr:sp macro="" textlink="">
      <xdr:nvSpPr>
        <xdr:cNvPr id="90" name="Rounded Rectangle 89">
          <a:extLst>
            <a:ext uri="{FF2B5EF4-FFF2-40B4-BE49-F238E27FC236}">
              <a16:creationId xmlns:a16="http://schemas.microsoft.com/office/drawing/2014/main" id="{AEE897AC-6431-BFFA-040D-081C4BEF6BB9}"/>
            </a:ext>
          </a:extLst>
        </xdr:cNvPr>
        <xdr:cNvSpPr/>
      </xdr:nvSpPr>
      <xdr:spPr>
        <a:xfrm>
          <a:off x="13504668093" y="1936261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ג</a:t>
          </a:r>
          <a:endParaRPr lang="en-US" sz="1100"/>
        </a:p>
      </xdr:txBody>
    </xdr:sp>
    <xdr:clientData/>
  </xdr:twoCellAnchor>
  <xdr:twoCellAnchor>
    <xdr:from>
      <xdr:col>5</xdr:col>
      <xdr:colOff>824523</xdr:colOff>
      <xdr:row>95</xdr:row>
      <xdr:rowOff>7814</xdr:rowOff>
    </xdr:from>
    <xdr:to>
      <xdr:col>6</xdr:col>
      <xdr:colOff>773723</xdr:colOff>
      <xdr:row>96</xdr:row>
      <xdr:rowOff>27352</xdr:rowOff>
    </xdr:to>
    <xdr:sp macro="" textlink="">
      <xdr:nvSpPr>
        <xdr:cNvPr id="91" name="Rounded Rectangle 90">
          <a:extLst>
            <a:ext uri="{FF2B5EF4-FFF2-40B4-BE49-F238E27FC236}">
              <a16:creationId xmlns:a16="http://schemas.microsoft.com/office/drawing/2014/main" id="{5EDFA234-2640-C135-C7E2-3A1F724CE9A1}"/>
            </a:ext>
          </a:extLst>
        </xdr:cNvPr>
        <xdr:cNvSpPr/>
      </xdr:nvSpPr>
      <xdr:spPr>
        <a:xfrm>
          <a:off x="13503265231" y="1931181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ד</a:t>
          </a:r>
          <a:endParaRPr lang="en-US" sz="1100"/>
        </a:p>
      </xdr:txBody>
    </xdr:sp>
    <xdr:clientData/>
  </xdr:twoCellAnchor>
  <xdr:twoCellAnchor>
    <xdr:from>
      <xdr:col>8</xdr:col>
      <xdr:colOff>66429</xdr:colOff>
      <xdr:row>95</xdr:row>
      <xdr:rowOff>42984</xdr:rowOff>
    </xdr:from>
    <xdr:to>
      <xdr:col>9</xdr:col>
      <xdr:colOff>15629</xdr:colOff>
      <xdr:row>96</xdr:row>
      <xdr:rowOff>62522</xdr:rowOff>
    </xdr:to>
    <xdr:sp macro="" textlink="">
      <xdr:nvSpPr>
        <xdr:cNvPr id="92" name="Rounded Rectangle 91">
          <a:extLst>
            <a:ext uri="{FF2B5EF4-FFF2-40B4-BE49-F238E27FC236}">
              <a16:creationId xmlns:a16="http://schemas.microsoft.com/office/drawing/2014/main" id="{1087A9CA-D153-3D3D-25B9-87FADF07EA13}"/>
            </a:ext>
          </a:extLst>
        </xdr:cNvPr>
        <xdr:cNvSpPr/>
      </xdr:nvSpPr>
      <xdr:spPr>
        <a:xfrm>
          <a:off x="13501549755" y="19346984"/>
          <a:ext cx="773723" cy="22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שלב</a:t>
          </a:r>
          <a:r>
            <a:rPr lang="he-IL" sz="1100" baseline="0"/>
            <a:t> ה</a:t>
          </a:r>
          <a:endParaRPr lang="en-US" sz="1100"/>
        </a:p>
      </xdr:txBody>
    </xdr:sp>
    <xdr:clientData/>
  </xdr:twoCellAnchor>
  <xdr:twoCellAnchor>
    <xdr:from>
      <xdr:col>5</xdr:col>
      <xdr:colOff>664308</xdr:colOff>
      <xdr:row>106</xdr:row>
      <xdr:rowOff>132862</xdr:rowOff>
    </xdr:from>
    <xdr:to>
      <xdr:col>6</xdr:col>
      <xdr:colOff>46893</xdr:colOff>
      <xdr:row>108</xdr:row>
      <xdr:rowOff>39077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ABA083C2-6827-654C-BE33-1C7E37C0CAFE}"/>
            </a:ext>
          </a:extLst>
        </xdr:cNvPr>
        <xdr:cNvCxnSpPr/>
      </xdr:nvCxnSpPr>
      <xdr:spPr>
        <a:xfrm flipH="1" flipV="1">
          <a:off x="13532416862" y="14343643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664308</xdr:colOff>
      <xdr:row>106</xdr:row>
      <xdr:rowOff>132862</xdr:rowOff>
    </xdr:from>
    <xdr:to>
      <xdr:col>4</xdr:col>
      <xdr:colOff>46893</xdr:colOff>
      <xdr:row>108</xdr:row>
      <xdr:rowOff>39077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C00B8090-6CC6-704F-B526-115FFDFDB180}"/>
            </a:ext>
          </a:extLst>
        </xdr:cNvPr>
        <xdr:cNvCxnSpPr/>
      </xdr:nvCxnSpPr>
      <xdr:spPr>
        <a:xfrm flipH="1" flipV="1">
          <a:off x="13531590654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664308</xdr:colOff>
      <xdr:row>106</xdr:row>
      <xdr:rowOff>132862</xdr:rowOff>
    </xdr:from>
    <xdr:to>
      <xdr:col>5</xdr:col>
      <xdr:colOff>46893</xdr:colOff>
      <xdr:row>108</xdr:row>
      <xdr:rowOff>39077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1DCC6CA8-2BB1-BE4F-BBCC-B5F0AA7B21B5}"/>
            </a:ext>
          </a:extLst>
        </xdr:cNvPr>
        <xdr:cNvCxnSpPr/>
      </xdr:nvCxnSpPr>
      <xdr:spPr>
        <a:xfrm flipH="1" flipV="1">
          <a:off x="13531590654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106</xdr:row>
      <xdr:rowOff>132862</xdr:rowOff>
    </xdr:from>
    <xdr:to>
      <xdr:col>3</xdr:col>
      <xdr:colOff>46893</xdr:colOff>
      <xdr:row>108</xdr:row>
      <xdr:rowOff>39077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3F5FA3EE-C396-D043-820B-05D98142F8E1}"/>
            </a:ext>
          </a:extLst>
        </xdr:cNvPr>
        <xdr:cNvCxnSpPr/>
      </xdr:nvCxnSpPr>
      <xdr:spPr>
        <a:xfrm flipH="1" flipV="1">
          <a:off x="13533243070" y="21652044"/>
          <a:ext cx="208793" cy="31223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444111</xdr:colOff>
      <xdr:row>97</xdr:row>
      <xdr:rowOff>202576</xdr:rowOff>
    </xdr:from>
    <xdr:to>
      <xdr:col>0</xdr:col>
      <xdr:colOff>455798</xdr:colOff>
      <xdr:row>100</xdr:row>
      <xdr:rowOff>50644</xdr:rowOff>
    </xdr:to>
    <xdr:cxnSp macro="">
      <xdr:nvCxnSpPr>
        <xdr:cNvPr id="101" name="Straight Connector 100">
          <a:extLst>
            <a:ext uri="{FF2B5EF4-FFF2-40B4-BE49-F238E27FC236}">
              <a16:creationId xmlns:a16="http://schemas.microsoft.com/office/drawing/2014/main" id="{34CD0339-75A2-65D5-20FF-4667568CBFF6}"/>
            </a:ext>
          </a:extLst>
        </xdr:cNvPr>
        <xdr:cNvCxnSpPr/>
      </xdr:nvCxnSpPr>
      <xdr:spPr>
        <a:xfrm>
          <a:off x="13530918926" y="19852515"/>
          <a:ext cx="11687" cy="45579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38957</xdr:colOff>
      <xdr:row>97</xdr:row>
      <xdr:rowOff>81810</xdr:rowOff>
    </xdr:from>
    <xdr:to>
      <xdr:col>2</xdr:col>
      <xdr:colOff>38957</xdr:colOff>
      <xdr:row>100</xdr:row>
      <xdr:rowOff>38957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1AA2189-FC70-97B1-9E4E-1CCBAE468AFF}"/>
            </a:ext>
          </a:extLst>
        </xdr:cNvPr>
        <xdr:cNvCxnSpPr/>
      </xdr:nvCxnSpPr>
      <xdr:spPr>
        <a:xfrm>
          <a:off x="13529683988" y="19731749"/>
          <a:ext cx="0" cy="564877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448007</xdr:colOff>
      <xdr:row>100</xdr:row>
      <xdr:rowOff>35061</xdr:rowOff>
    </xdr:from>
    <xdr:to>
      <xdr:col>2</xdr:col>
      <xdr:colOff>46749</xdr:colOff>
      <xdr:row>100</xdr:row>
      <xdr:rowOff>50644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B6B8C1F2-7FEF-E5BE-FA7C-1285B3AD8E1C}"/>
            </a:ext>
          </a:extLst>
        </xdr:cNvPr>
        <xdr:cNvCxnSpPr/>
      </xdr:nvCxnSpPr>
      <xdr:spPr>
        <a:xfrm flipH="1" flipV="1">
          <a:off x="13529676196" y="20292730"/>
          <a:ext cx="1250521" cy="1558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486964</xdr:colOff>
      <xdr:row>97</xdr:row>
      <xdr:rowOff>128558</xdr:rowOff>
    </xdr:from>
    <xdr:to>
      <xdr:col>3</xdr:col>
      <xdr:colOff>498651</xdr:colOff>
      <xdr:row>99</xdr:row>
      <xdr:rowOff>179203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2B560062-B5B4-FE56-BAF1-571EAB9D955C}"/>
            </a:ext>
          </a:extLst>
        </xdr:cNvPr>
        <xdr:cNvCxnSpPr/>
      </xdr:nvCxnSpPr>
      <xdr:spPr>
        <a:xfrm>
          <a:off x="13528398404" y="19778497"/>
          <a:ext cx="11687" cy="45579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38957</xdr:colOff>
      <xdr:row>96</xdr:row>
      <xdr:rowOff>186994</xdr:rowOff>
    </xdr:from>
    <xdr:to>
      <xdr:col>4</xdr:col>
      <xdr:colOff>58436</xdr:colOff>
      <xdr:row>99</xdr:row>
      <xdr:rowOff>179203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3C7281D-B93D-CD35-8E95-A96DA82C8521}"/>
            </a:ext>
          </a:extLst>
        </xdr:cNvPr>
        <xdr:cNvCxnSpPr/>
      </xdr:nvCxnSpPr>
      <xdr:spPr>
        <a:xfrm>
          <a:off x="13528012730" y="19634356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490860</xdr:colOff>
      <xdr:row>99</xdr:row>
      <xdr:rowOff>175307</xdr:rowOff>
    </xdr:from>
    <xdr:to>
      <xdr:col>4</xdr:col>
      <xdr:colOff>38957</xdr:colOff>
      <xdr:row>99</xdr:row>
      <xdr:rowOff>179203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732F591A-5EE6-D2FE-F06D-4A79ECB14D8E}"/>
            </a:ext>
          </a:extLst>
        </xdr:cNvPr>
        <xdr:cNvCxnSpPr/>
      </xdr:nvCxnSpPr>
      <xdr:spPr>
        <a:xfrm flipH="1" flipV="1">
          <a:off x="13528032209" y="20230399"/>
          <a:ext cx="373986" cy="38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315552</xdr:colOff>
      <xdr:row>96</xdr:row>
      <xdr:rowOff>171411</xdr:rowOff>
    </xdr:from>
    <xdr:to>
      <xdr:col>5</xdr:col>
      <xdr:colOff>335031</xdr:colOff>
      <xdr:row>99</xdr:row>
      <xdr:rowOff>163620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9E684475-0D2A-1A70-32F3-E816F9E621C0}"/>
            </a:ext>
          </a:extLst>
        </xdr:cNvPr>
        <xdr:cNvCxnSpPr/>
      </xdr:nvCxnSpPr>
      <xdr:spPr>
        <a:xfrm>
          <a:off x="13526910245" y="19618773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206473</xdr:colOff>
      <xdr:row>99</xdr:row>
      <xdr:rowOff>175307</xdr:rowOff>
    </xdr:from>
    <xdr:to>
      <xdr:col>5</xdr:col>
      <xdr:colOff>331135</xdr:colOff>
      <xdr:row>99</xdr:row>
      <xdr:rowOff>179202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B4F7F72-AC3D-2800-2198-EA4DF6D94E16}"/>
            </a:ext>
          </a:extLst>
        </xdr:cNvPr>
        <xdr:cNvCxnSpPr/>
      </xdr:nvCxnSpPr>
      <xdr:spPr>
        <a:xfrm flipH="1" flipV="1">
          <a:off x="13526914141" y="20230399"/>
          <a:ext cx="950552" cy="389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198681</xdr:colOff>
      <xdr:row>96</xdr:row>
      <xdr:rowOff>198681</xdr:rowOff>
    </xdr:from>
    <xdr:to>
      <xdr:col>4</xdr:col>
      <xdr:colOff>218161</xdr:colOff>
      <xdr:row>99</xdr:row>
      <xdr:rowOff>190890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DC9CC342-D720-3C6C-CE84-B88017728A50}"/>
            </a:ext>
          </a:extLst>
        </xdr:cNvPr>
        <xdr:cNvCxnSpPr/>
      </xdr:nvCxnSpPr>
      <xdr:spPr>
        <a:xfrm>
          <a:off x="13527853005" y="19646043"/>
          <a:ext cx="19480" cy="59993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405154</xdr:colOff>
      <xdr:row>97</xdr:row>
      <xdr:rowOff>3895</xdr:rowOff>
    </xdr:from>
    <xdr:to>
      <xdr:col>7</xdr:col>
      <xdr:colOff>424633</xdr:colOff>
      <xdr:row>99</xdr:row>
      <xdr:rowOff>198681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9FFAA9F5-E627-FFE7-FD15-A3A312CCC5EF}"/>
            </a:ext>
          </a:extLst>
        </xdr:cNvPr>
        <xdr:cNvCxnSpPr/>
      </xdr:nvCxnSpPr>
      <xdr:spPr>
        <a:xfrm>
          <a:off x="13525168864" y="19653834"/>
          <a:ext cx="19479" cy="599939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19479</xdr:colOff>
      <xdr:row>99</xdr:row>
      <xdr:rowOff>202576</xdr:rowOff>
    </xdr:from>
    <xdr:to>
      <xdr:col>7</xdr:col>
      <xdr:colOff>416841</xdr:colOff>
      <xdr:row>100</xdr:row>
      <xdr:rowOff>3895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021112A7-59F3-A63B-ED8A-B3EFB502DECB}"/>
            </a:ext>
          </a:extLst>
        </xdr:cNvPr>
        <xdr:cNvCxnSpPr/>
      </xdr:nvCxnSpPr>
      <xdr:spPr>
        <a:xfrm flipH="1">
          <a:off x="13525176656" y="20257668"/>
          <a:ext cx="397362" cy="38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11687</xdr:colOff>
      <xdr:row>97</xdr:row>
      <xdr:rowOff>19478</xdr:rowOff>
    </xdr:from>
    <xdr:to>
      <xdr:col>7</xdr:col>
      <xdr:colOff>31167</xdr:colOff>
      <xdr:row>100</xdr:row>
      <xdr:rowOff>11687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25641853-C510-BD14-3E13-E7E30A83A33B}"/>
            </a:ext>
          </a:extLst>
        </xdr:cNvPr>
        <xdr:cNvCxnSpPr/>
      </xdr:nvCxnSpPr>
      <xdr:spPr>
        <a:xfrm>
          <a:off x="13525562330" y="19669417"/>
          <a:ext cx="19480" cy="59993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455797</xdr:colOff>
      <xdr:row>110</xdr:row>
      <xdr:rowOff>183098</xdr:rowOff>
    </xdr:from>
    <xdr:to>
      <xdr:col>2</xdr:col>
      <xdr:colOff>771349</xdr:colOff>
      <xdr:row>115</xdr:row>
      <xdr:rowOff>116871</xdr:rowOff>
    </xdr:to>
    <xdr:grpSp>
      <xdr:nvGrpSpPr>
        <xdr:cNvPr id="124" name="Group 123">
          <a:extLst>
            <a:ext uri="{FF2B5EF4-FFF2-40B4-BE49-F238E27FC236}">
              <a16:creationId xmlns:a16="http://schemas.microsoft.com/office/drawing/2014/main" id="{8BE06DD5-FA59-F94D-87D4-AE12F5DBDAF6}"/>
            </a:ext>
          </a:extLst>
        </xdr:cNvPr>
        <xdr:cNvGrpSpPr/>
      </xdr:nvGrpSpPr>
      <xdr:grpSpPr>
        <a:xfrm>
          <a:off x="13557748651" y="22681600"/>
          <a:ext cx="1143193" cy="956432"/>
          <a:chOff x="13502407493" y="16259908"/>
          <a:chExt cx="1513513" cy="1358900"/>
        </a:xfrm>
      </xdr:grpSpPr>
      <xdr:pic>
        <xdr:nvPicPr>
          <xdr:cNvPr id="125" name="Picture 124">
            <a:extLst>
              <a:ext uri="{FF2B5EF4-FFF2-40B4-BE49-F238E27FC236}">
                <a16:creationId xmlns:a16="http://schemas.microsoft.com/office/drawing/2014/main" id="{0C88922E-02F6-F3B5-8FBE-33C32F9427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502407493" y="16259908"/>
            <a:ext cx="1498600" cy="1358900"/>
          </a:xfrm>
          <a:prstGeom prst="rect">
            <a:avLst/>
          </a:prstGeom>
        </xdr:spPr>
      </xdr:pic>
      <xdr:sp macro="" textlink="">
        <xdr:nvSpPr>
          <xdr:cNvPr id="126" name="Freeform 125">
            <a:extLst>
              <a:ext uri="{FF2B5EF4-FFF2-40B4-BE49-F238E27FC236}">
                <a16:creationId xmlns:a16="http://schemas.microsoft.com/office/drawing/2014/main" id="{C55194F5-7AB3-4EDA-07F5-D5E4A3B4339C}"/>
              </a:ext>
            </a:extLst>
          </xdr:cNvPr>
          <xdr:cNvSpPr/>
        </xdr:nvSpPr>
        <xdr:spPr>
          <a:xfrm>
            <a:off x="13502749416" y="16341970"/>
            <a:ext cx="676030" cy="297169"/>
          </a:xfrm>
          <a:custGeom>
            <a:avLst/>
            <a:gdLst>
              <a:gd name="connsiteX0" fmla="*/ 265723 w 676030"/>
              <a:gd name="connsiteY0" fmla="*/ 117231 h 297169"/>
              <a:gd name="connsiteX1" fmla="*/ 234461 w 676030"/>
              <a:gd name="connsiteY1" fmla="*/ 128954 h 297169"/>
              <a:gd name="connsiteX2" fmla="*/ 211015 w 676030"/>
              <a:gd name="connsiteY2" fmla="*/ 132861 h 297169"/>
              <a:gd name="connsiteX3" fmla="*/ 195384 w 676030"/>
              <a:gd name="connsiteY3" fmla="*/ 136769 h 297169"/>
              <a:gd name="connsiteX4" fmla="*/ 171938 w 676030"/>
              <a:gd name="connsiteY4" fmla="*/ 144584 h 297169"/>
              <a:gd name="connsiteX5" fmla="*/ 199292 w 676030"/>
              <a:gd name="connsiteY5" fmla="*/ 117231 h 297169"/>
              <a:gd name="connsiteX6" fmla="*/ 214923 w 676030"/>
              <a:gd name="connsiteY6" fmla="*/ 101600 h 297169"/>
              <a:gd name="connsiteX7" fmla="*/ 234461 w 676030"/>
              <a:gd name="connsiteY7" fmla="*/ 89877 h 297169"/>
              <a:gd name="connsiteX8" fmla="*/ 250092 w 676030"/>
              <a:gd name="connsiteY8" fmla="*/ 82061 h 297169"/>
              <a:gd name="connsiteX9" fmla="*/ 277446 w 676030"/>
              <a:gd name="connsiteY9" fmla="*/ 74246 h 297169"/>
              <a:gd name="connsiteX10" fmla="*/ 265723 w 676030"/>
              <a:gd name="connsiteY10" fmla="*/ 97692 h 297169"/>
              <a:gd name="connsiteX11" fmla="*/ 250092 w 676030"/>
              <a:gd name="connsiteY11" fmla="*/ 101600 h 297169"/>
              <a:gd name="connsiteX12" fmla="*/ 230554 w 676030"/>
              <a:gd name="connsiteY12" fmla="*/ 109415 h 297169"/>
              <a:gd name="connsiteX13" fmla="*/ 168030 w 676030"/>
              <a:gd name="connsiteY13" fmla="*/ 117231 h 297169"/>
              <a:gd name="connsiteX14" fmla="*/ 156307 w 676030"/>
              <a:gd name="connsiteY14" fmla="*/ 125046 h 297169"/>
              <a:gd name="connsiteX15" fmla="*/ 168030 w 676030"/>
              <a:gd name="connsiteY15" fmla="*/ 128954 h 297169"/>
              <a:gd name="connsiteX16" fmla="*/ 179754 w 676030"/>
              <a:gd name="connsiteY16" fmla="*/ 121138 h 297169"/>
              <a:gd name="connsiteX17" fmla="*/ 214923 w 676030"/>
              <a:gd name="connsiteY17" fmla="*/ 89877 h 297169"/>
              <a:gd name="connsiteX18" fmla="*/ 234461 w 676030"/>
              <a:gd name="connsiteY18" fmla="*/ 78154 h 297169"/>
              <a:gd name="connsiteX19" fmla="*/ 246184 w 676030"/>
              <a:gd name="connsiteY19" fmla="*/ 66431 h 297169"/>
              <a:gd name="connsiteX20" fmla="*/ 269630 w 676030"/>
              <a:gd name="connsiteY20" fmla="*/ 58615 h 297169"/>
              <a:gd name="connsiteX21" fmla="*/ 273538 w 676030"/>
              <a:gd name="connsiteY21" fmla="*/ 70338 h 297169"/>
              <a:gd name="connsiteX22" fmla="*/ 246184 w 676030"/>
              <a:gd name="connsiteY22" fmla="*/ 85969 h 297169"/>
              <a:gd name="connsiteX23" fmla="*/ 175846 w 676030"/>
              <a:gd name="connsiteY23" fmla="*/ 89877 h 297169"/>
              <a:gd name="connsiteX24" fmla="*/ 156307 w 676030"/>
              <a:gd name="connsiteY24" fmla="*/ 101600 h 297169"/>
              <a:gd name="connsiteX25" fmla="*/ 148492 w 676030"/>
              <a:gd name="connsiteY25" fmla="*/ 113323 h 297169"/>
              <a:gd name="connsiteX26" fmla="*/ 179754 w 676030"/>
              <a:gd name="connsiteY26" fmla="*/ 78154 h 297169"/>
              <a:gd name="connsiteX27" fmla="*/ 203200 w 676030"/>
              <a:gd name="connsiteY27" fmla="*/ 66431 h 297169"/>
              <a:gd name="connsiteX28" fmla="*/ 222738 w 676030"/>
              <a:gd name="connsiteY28" fmla="*/ 50800 h 297169"/>
              <a:gd name="connsiteX29" fmla="*/ 246184 w 676030"/>
              <a:gd name="connsiteY29" fmla="*/ 42984 h 297169"/>
              <a:gd name="connsiteX30" fmla="*/ 261815 w 676030"/>
              <a:gd name="connsiteY30" fmla="*/ 35169 h 297169"/>
              <a:gd name="connsiteX31" fmla="*/ 277446 w 676030"/>
              <a:gd name="connsiteY31" fmla="*/ 54708 h 297169"/>
              <a:gd name="connsiteX32" fmla="*/ 261815 w 676030"/>
              <a:gd name="connsiteY32" fmla="*/ 58615 h 297169"/>
              <a:gd name="connsiteX33" fmla="*/ 156307 w 676030"/>
              <a:gd name="connsiteY33" fmla="*/ 62523 h 297169"/>
              <a:gd name="connsiteX34" fmla="*/ 140677 w 676030"/>
              <a:gd name="connsiteY34" fmla="*/ 70338 h 297169"/>
              <a:gd name="connsiteX35" fmla="*/ 101600 w 676030"/>
              <a:gd name="connsiteY35" fmla="*/ 101600 h 297169"/>
              <a:gd name="connsiteX36" fmla="*/ 89877 w 676030"/>
              <a:gd name="connsiteY36" fmla="*/ 109415 h 297169"/>
              <a:gd name="connsiteX37" fmla="*/ 97692 w 676030"/>
              <a:gd name="connsiteY37" fmla="*/ 125046 h 297169"/>
              <a:gd name="connsiteX38" fmla="*/ 105507 w 676030"/>
              <a:gd name="connsiteY38" fmla="*/ 113323 h 297169"/>
              <a:gd name="connsiteX39" fmla="*/ 132861 w 676030"/>
              <a:gd name="connsiteY39" fmla="*/ 85969 h 297169"/>
              <a:gd name="connsiteX40" fmla="*/ 144584 w 676030"/>
              <a:gd name="connsiteY40" fmla="*/ 74246 h 297169"/>
              <a:gd name="connsiteX41" fmla="*/ 156307 w 676030"/>
              <a:gd name="connsiteY41" fmla="*/ 66431 h 297169"/>
              <a:gd name="connsiteX42" fmla="*/ 218830 w 676030"/>
              <a:gd name="connsiteY42" fmla="*/ 58615 h 297169"/>
              <a:gd name="connsiteX43" fmla="*/ 332154 w 676030"/>
              <a:gd name="connsiteY43" fmla="*/ 62523 h 297169"/>
              <a:gd name="connsiteX44" fmla="*/ 324338 w 676030"/>
              <a:gd name="connsiteY44" fmla="*/ 70338 h 297169"/>
              <a:gd name="connsiteX45" fmla="*/ 312615 w 676030"/>
              <a:gd name="connsiteY45" fmla="*/ 74246 h 297169"/>
              <a:gd name="connsiteX46" fmla="*/ 191477 w 676030"/>
              <a:gd name="connsiteY46" fmla="*/ 82061 h 297169"/>
              <a:gd name="connsiteX47" fmla="*/ 156307 w 676030"/>
              <a:gd name="connsiteY47" fmla="*/ 97692 h 297169"/>
              <a:gd name="connsiteX48" fmla="*/ 144584 w 676030"/>
              <a:gd name="connsiteY48" fmla="*/ 105508 h 297169"/>
              <a:gd name="connsiteX49" fmla="*/ 140677 w 676030"/>
              <a:gd name="connsiteY49" fmla="*/ 117231 h 297169"/>
              <a:gd name="connsiteX50" fmla="*/ 148492 w 676030"/>
              <a:gd name="connsiteY50" fmla="*/ 109415 h 297169"/>
              <a:gd name="connsiteX51" fmla="*/ 203200 w 676030"/>
              <a:gd name="connsiteY51" fmla="*/ 74246 h 297169"/>
              <a:gd name="connsiteX52" fmla="*/ 289169 w 676030"/>
              <a:gd name="connsiteY52" fmla="*/ 54708 h 297169"/>
              <a:gd name="connsiteX53" fmla="*/ 394677 w 676030"/>
              <a:gd name="connsiteY53" fmla="*/ 46892 h 297169"/>
              <a:gd name="connsiteX54" fmla="*/ 468923 w 676030"/>
              <a:gd name="connsiteY54" fmla="*/ 50800 h 297169"/>
              <a:gd name="connsiteX55" fmla="*/ 476738 w 676030"/>
              <a:gd name="connsiteY55" fmla="*/ 62523 h 297169"/>
              <a:gd name="connsiteX56" fmla="*/ 472830 w 676030"/>
              <a:gd name="connsiteY56" fmla="*/ 74246 h 297169"/>
              <a:gd name="connsiteX57" fmla="*/ 312615 w 676030"/>
              <a:gd name="connsiteY57" fmla="*/ 74246 h 297169"/>
              <a:gd name="connsiteX58" fmla="*/ 296984 w 676030"/>
              <a:gd name="connsiteY58" fmla="*/ 82061 h 297169"/>
              <a:gd name="connsiteX59" fmla="*/ 281354 w 676030"/>
              <a:gd name="connsiteY59" fmla="*/ 85969 h 297169"/>
              <a:gd name="connsiteX60" fmla="*/ 261815 w 676030"/>
              <a:gd name="connsiteY60" fmla="*/ 89877 h 297169"/>
              <a:gd name="connsiteX61" fmla="*/ 304800 w 676030"/>
              <a:gd name="connsiteY61" fmla="*/ 82061 h 297169"/>
              <a:gd name="connsiteX62" fmla="*/ 324338 w 676030"/>
              <a:gd name="connsiteY62" fmla="*/ 74246 h 297169"/>
              <a:gd name="connsiteX63" fmla="*/ 379046 w 676030"/>
              <a:gd name="connsiteY63" fmla="*/ 66431 h 297169"/>
              <a:gd name="connsiteX64" fmla="*/ 511907 w 676030"/>
              <a:gd name="connsiteY64" fmla="*/ 70338 h 297169"/>
              <a:gd name="connsiteX65" fmla="*/ 543169 w 676030"/>
              <a:gd name="connsiteY65" fmla="*/ 85969 h 297169"/>
              <a:gd name="connsiteX66" fmla="*/ 566615 w 676030"/>
              <a:gd name="connsiteY66" fmla="*/ 93784 h 297169"/>
              <a:gd name="connsiteX67" fmla="*/ 586154 w 676030"/>
              <a:gd name="connsiteY67" fmla="*/ 101600 h 297169"/>
              <a:gd name="connsiteX68" fmla="*/ 597877 w 676030"/>
              <a:gd name="connsiteY68" fmla="*/ 113323 h 297169"/>
              <a:gd name="connsiteX69" fmla="*/ 547077 w 676030"/>
              <a:gd name="connsiteY69" fmla="*/ 105508 h 297169"/>
              <a:gd name="connsiteX70" fmla="*/ 515815 w 676030"/>
              <a:gd name="connsiteY70" fmla="*/ 101600 h 297169"/>
              <a:gd name="connsiteX71" fmla="*/ 379046 w 676030"/>
              <a:gd name="connsiteY71" fmla="*/ 105508 h 297169"/>
              <a:gd name="connsiteX72" fmla="*/ 339969 w 676030"/>
              <a:gd name="connsiteY72" fmla="*/ 113323 h 297169"/>
              <a:gd name="connsiteX73" fmla="*/ 293077 w 676030"/>
              <a:gd name="connsiteY73" fmla="*/ 121138 h 297169"/>
              <a:gd name="connsiteX74" fmla="*/ 285261 w 676030"/>
              <a:gd name="connsiteY74" fmla="*/ 128954 h 297169"/>
              <a:gd name="connsiteX75" fmla="*/ 328246 w 676030"/>
              <a:gd name="connsiteY75" fmla="*/ 113323 h 297169"/>
              <a:gd name="connsiteX76" fmla="*/ 390769 w 676030"/>
              <a:gd name="connsiteY76" fmla="*/ 105508 h 297169"/>
              <a:gd name="connsiteX77" fmla="*/ 488461 w 676030"/>
              <a:gd name="connsiteY77" fmla="*/ 117231 h 297169"/>
              <a:gd name="connsiteX78" fmla="*/ 539261 w 676030"/>
              <a:gd name="connsiteY78" fmla="*/ 128954 h 297169"/>
              <a:gd name="connsiteX79" fmla="*/ 570523 w 676030"/>
              <a:gd name="connsiteY79" fmla="*/ 136769 h 297169"/>
              <a:gd name="connsiteX80" fmla="*/ 527538 w 676030"/>
              <a:gd name="connsiteY80" fmla="*/ 140677 h 297169"/>
              <a:gd name="connsiteX81" fmla="*/ 511907 w 676030"/>
              <a:gd name="connsiteY81" fmla="*/ 132861 h 297169"/>
              <a:gd name="connsiteX82" fmla="*/ 496277 w 676030"/>
              <a:gd name="connsiteY82" fmla="*/ 128954 h 297169"/>
              <a:gd name="connsiteX83" fmla="*/ 465015 w 676030"/>
              <a:gd name="connsiteY83" fmla="*/ 121138 h 297169"/>
              <a:gd name="connsiteX84" fmla="*/ 296984 w 676030"/>
              <a:gd name="connsiteY84" fmla="*/ 117231 h 297169"/>
              <a:gd name="connsiteX85" fmla="*/ 312615 w 676030"/>
              <a:gd name="connsiteY85" fmla="*/ 113323 h 297169"/>
              <a:gd name="connsiteX86" fmla="*/ 332154 w 676030"/>
              <a:gd name="connsiteY86" fmla="*/ 109415 h 297169"/>
              <a:gd name="connsiteX87" fmla="*/ 382954 w 676030"/>
              <a:gd name="connsiteY87" fmla="*/ 93784 h 297169"/>
              <a:gd name="connsiteX88" fmla="*/ 418123 w 676030"/>
              <a:gd name="connsiteY88" fmla="*/ 89877 h 297169"/>
              <a:gd name="connsiteX89" fmla="*/ 586154 w 676030"/>
              <a:gd name="connsiteY89" fmla="*/ 97692 h 297169"/>
              <a:gd name="connsiteX90" fmla="*/ 597877 w 676030"/>
              <a:gd name="connsiteY90" fmla="*/ 101600 h 297169"/>
              <a:gd name="connsiteX91" fmla="*/ 574430 w 676030"/>
              <a:gd name="connsiteY91" fmla="*/ 105508 h 297169"/>
              <a:gd name="connsiteX92" fmla="*/ 437661 w 676030"/>
              <a:gd name="connsiteY92" fmla="*/ 97692 h 297169"/>
              <a:gd name="connsiteX93" fmla="*/ 375138 w 676030"/>
              <a:gd name="connsiteY93" fmla="*/ 101600 h 297169"/>
              <a:gd name="connsiteX94" fmla="*/ 347784 w 676030"/>
              <a:gd name="connsiteY94" fmla="*/ 105508 h 297169"/>
              <a:gd name="connsiteX95" fmla="*/ 320430 w 676030"/>
              <a:gd name="connsiteY95" fmla="*/ 121138 h 297169"/>
              <a:gd name="connsiteX96" fmla="*/ 273538 w 676030"/>
              <a:gd name="connsiteY96" fmla="*/ 140677 h 297169"/>
              <a:gd name="connsiteX97" fmla="*/ 324338 w 676030"/>
              <a:gd name="connsiteY97" fmla="*/ 117231 h 297169"/>
              <a:gd name="connsiteX98" fmla="*/ 355600 w 676030"/>
              <a:gd name="connsiteY98" fmla="*/ 109415 h 297169"/>
              <a:gd name="connsiteX99" fmla="*/ 402492 w 676030"/>
              <a:gd name="connsiteY99" fmla="*/ 105508 h 297169"/>
              <a:gd name="connsiteX100" fmla="*/ 519723 w 676030"/>
              <a:gd name="connsiteY100" fmla="*/ 97692 h 297169"/>
              <a:gd name="connsiteX101" fmla="*/ 570523 w 676030"/>
              <a:gd name="connsiteY101" fmla="*/ 101600 h 297169"/>
              <a:gd name="connsiteX102" fmla="*/ 586154 w 676030"/>
              <a:gd name="connsiteY102" fmla="*/ 109415 h 297169"/>
              <a:gd name="connsiteX103" fmla="*/ 593969 w 676030"/>
              <a:gd name="connsiteY103" fmla="*/ 125046 h 297169"/>
              <a:gd name="connsiteX104" fmla="*/ 578338 w 676030"/>
              <a:gd name="connsiteY104" fmla="*/ 113323 h 297169"/>
              <a:gd name="connsiteX105" fmla="*/ 539261 w 676030"/>
              <a:gd name="connsiteY105" fmla="*/ 105508 h 297169"/>
              <a:gd name="connsiteX106" fmla="*/ 504092 w 676030"/>
              <a:gd name="connsiteY106" fmla="*/ 97692 h 297169"/>
              <a:gd name="connsiteX107" fmla="*/ 269630 w 676030"/>
              <a:gd name="connsiteY107" fmla="*/ 101600 h 297169"/>
              <a:gd name="connsiteX108" fmla="*/ 211015 w 676030"/>
              <a:gd name="connsiteY108" fmla="*/ 109415 h 297169"/>
              <a:gd name="connsiteX109" fmla="*/ 168030 w 676030"/>
              <a:gd name="connsiteY109" fmla="*/ 113323 h 297169"/>
              <a:gd name="connsiteX110" fmla="*/ 140677 w 676030"/>
              <a:gd name="connsiteY110" fmla="*/ 128954 h 297169"/>
              <a:gd name="connsiteX111" fmla="*/ 152400 w 676030"/>
              <a:gd name="connsiteY111" fmla="*/ 132861 h 297169"/>
              <a:gd name="connsiteX112" fmla="*/ 171938 w 676030"/>
              <a:gd name="connsiteY112" fmla="*/ 128954 h 297169"/>
              <a:gd name="connsiteX113" fmla="*/ 187569 w 676030"/>
              <a:gd name="connsiteY113" fmla="*/ 125046 h 297169"/>
              <a:gd name="connsiteX114" fmla="*/ 211015 w 676030"/>
              <a:gd name="connsiteY114" fmla="*/ 121138 h 297169"/>
              <a:gd name="connsiteX115" fmla="*/ 238369 w 676030"/>
              <a:gd name="connsiteY115" fmla="*/ 113323 h 297169"/>
              <a:gd name="connsiteX116" fmla="*/ 328246 w 676030"/>
              <a:gd name="connsiteY116" fmla="*/ 105508 h 297169"/>
              <a:gd name="connsiteX117" fmla="*/ 519723 w 676030"/>
              <a:gd name="connsiteY117" fmla="*/ 113323 h 297169"/>
              <a:gd name="connsiteX118" fmla="*/ 531446 w 676030"/>
              <a:gd name="connsiteY118" fmla="*/ 117231 h 297169"/>
              <a:gd name="connsiteX119" fmla="*/ 523630 w 676030"/>
              <a:gd name="connsiteY119" fmla="*/ 132861 h 297169"/>
              <a:gd name="connsiteX120" fmla="*/ 511907 w 676030"/>
              <a:gd name="connsiteY120" fmla="*/ 136769 h 297169"/>
              <a:gd name="connsiteX121" fmla="*/ 429846 w 676030"/>
              <a:gd name="connsiteY121" fmla="*/ 128954 h 297169"/>
              <a:gd name="connsiteX122" fmla="*/ 394677 w 676030"/>
              <a:gd name="connsiteY122" fmla="*/ 117231 h 297169"/>
              <a:gd name="connsiteX123" fmla="*/ 226646 w 676030"/>
              <a:gd name="connsiteY123" fmla="*/ 117231 h 297169"/>
              <a:gd name="connsiteX124" fmla="*/ 179754 w 676030"/>
              <a:gd name="connsiteY124" fmla="*/ 125046 h 297169"/>
              <a:gd name="connsiteX125" fmla="*/ 140677 w 676030"/>
              <a:gd name="connsiteY125" fmla="*/ 136769 h 297169"/>
              <a:gd name="connsiteX126" fmla="*/ 121138 w 676030"/>
              <a:gd name="connsiteY126" fmla="*/ 140677 h 297169"/>
              <a:gd name="connsiteX127" fmla="*/ 105507 w 676030"/>
              <a:gd name="connsiteY127" fmla="*/ 144584 h 297169"/>
              <a:gd name="connsiteX128" fmla="*/ 93784 w 676030"/>
              <a:gd name="connsiteY128" fmla="*/ 152400 h 297169"/>
              <a:gd name="connsiteX129" fmla="*/ 128954 w 676030"/>
              <a:gd name="connsiteY129" fmla="*/ 132861 h 297169"/>
              <a:gd name="connsiteX130" fmla="*/ 144584 w 676030"/>
              <a:gd name="connsiteY130" fmla="*/ 125046 h 297169"/>
              <a:gd name="connsiteX131" fmla="*/ 160215 w 676030"/>
              <a:gd name="connsiteY131" fmla="*/ 113323 h 297169"/>
              <a:gd name="connsiteX132" fmla="*/ 175846 w 676030"/>
              <a:gd name="connsiteY132" fmla="*/ 109415 h 297169"/>
              <a:gd name="connsiteX133" fmla="*/ 187569 w 676030"/>
              <a:gd name="connsiteY133" fmla="*/ 105508 h 297169"/>
              <a:gd name="connsiteX134" fmla="*/ 199292 w 676030"/>
              <a:gd name="connsiteY134" fmla="*/ 109415 h 297169"/>
              <a:gd name="connsiteX135" fmla="*/ 152400 w 676030"/>
              <a:gd name="connsiteY135" fmla="*/ 117231 h 297169"/>
              <a:gd name="connsiteX136" fmla="*/ 132861 w 676030"/>
              <a:gd name="connsiteY136" fmla="*/ 125046 h 297169"/>
              <a:gd name="connsiteX137" fmla="*/ 113323 w 676030"/>
              <a:gd name="connsiteY137" fmla="*/ 128954 h 297169"/>
              <a:gd name="connsiteX138" fmla="*/ 101600 w 676030"/>
              <a:gd name="connsiteY138" fmla="*/ 132861 h 297169"/>
              <a:gd name="connsiteX139" fmla="*/ 62523 w 676030"/>
              <a:gd name="connsiteY139" fmla="*/ 140677 h 297169"/>
              <a:gd name="connsiteX140" fmla="*/ 46892 w 676030"/>
              <a:gd name="connsiteY140" fmla="*/ 144584 h 297169"/>
              <a:gd name="connsiteX141" fmla="*/ 62523 w 676030"/>
              <a:gd name="connsiteY141" fmla="*/ 132861 h 297169"/>
              <a:gd name="connsiteX142" fmla="*/ 78154 w 676030"/>
              <a:gd name="connsiteY142" fmla="*/ 125046 h 297169"/>
              <a:gd name="connsiteX143" fmla="*/ 89877 w 676030"/>
              <a:gd name="connsiteY143" fmla="*/ 113323 h 297169"/>
              <a:gd name="connsiteX144" fmla="*/ 105507 w 676030"/>
              <a:gd name="connsiteY144" fmla="*/ 105508 h 297169"/>
              <a:gd name="connsiteX145" fmla="*/ 136769 w 676030"/>
              <a:gd name="connsiteY145" fmla="*/ 85969 h 297169"/>
              <a:gd name="connsiteX146" fmla="*/ 195384 w 676030"/>
              <a:gd name="connsiteY146" fmla="*/ 74246 h 297169"/>
              <a:gd name="connsiteX147" fmla="*/ 281354 w 676030"/>
              <a:gd name="connsiteY147" fmla="*/ 62523 h 297169"/>
              <a:gd name="connsiteX148" fmla="*/ 316523 w 676030"/>
              <a:gd name="connsiteY148" fmla="*/ 54708 h 297169"/>
              <a:gd name="connsiteX149" fmla="*/ 394677 w 676030"/>
              <a:gd name="connsiteY149" fmla="*/ 46892 h 297169"/>
              <a:gd name="connsiteX150" fmla="*/ 238369 w 676030"/>
              <a:gd name="connsiteY150" fmla="*/ 54708 h 297169"/>
              <a:gd name="connsiteX151" fmla="*/ 175846 w 676030"/>
              <a:gd name="connsiteY151" fmla="*/ 58615 h 297169"/>
              <a:gd name="connsiteX152" fmla="*/ 164123 w 676030"/>
              <a:gd name="connsiteY152" fmla="*/ 62523 h 297169"/>
              <a:gd name="connsiteX153" fmla="*/ 156307 w 676030"/>
              <a:gd name="connsiteY153" fmla="*/ 70338 h 297169"/>
              <a:gd name="connsiteX154" fmla="*/ 207107 w 676030"/>
              <a:gd name="connsiteY154" fmla="*/ 39077 h 297169"/>
              <a:gd name="connsiteX155" fmla="*/ 230554 w 676030"/>
              <a:gd name="connsiteY155" fmla="*/ 27354 h 297169"/>
              <a:gd name="connsiteX156" fmla="*/ 250092 w 676030"/>
              <a:gd name="connsiteY156" fmla="*/ 15631 h 297169"/>
              <a:gd name="connsiteX157" fmla="*/ 269630 w 676030"/>
              <a:gd name="connsiteY157" fmla="*/ 11723 h 297169"/>
              <a:gd name="connsiteX158" fmla="*/ 285261 w 676030"/>
              <a:gd name="connsiteY158" fmla="*/ 7815 h 297169"/>
              <a:gd name="connsiteX159" fmla="*/ 336061 w 676030"/>
              <a:gd name="connsiteY159" fmla="*/ 3908 h 297169"/>
              <a:gd name="connsiteX160" fmla="*/ 367323 w 676030"/>
              <a:gd name="connsiteY160" fmla="*/ 0 h 297169"/>
              <a:gd name="connsiteX161" fmla="*/ 488461 w 676030"/>
              <a:gd name="connsiteY161" fmla="*/ 7815 h 297169"/>
              <a:gd name="connsiteX162" fmla="*/ 472830 w 676030"/>
              <a:gd name="connsiteY162" fmla="*/ 15631 h 297169"/>
              <a:gd name="connsiteX163" fmla="*/ 386861 w 676030"/>
              <a:gd name="connsiteY163" fmla="*/ 11723 h 297169"/>
              <a:gd name="connsiteX164" fmla="*/ 324338 w 676030"/>
              <a:gd name="connsiteY164" fmla="*/ 15631 h 297169"/>
              <a:gd name="connsiteX165" fmla="*/ 293077 w 676030"/>
              <a:gd name="connsiteY165" fmla="*/ 31261 h 297169"/>
              <a:gd name="connsiteX166" fmla="*/ 222738 w 676030"/>
              <a:gd name="connsiteY166" fmla="*/ 58615 h 297169"/>
              <a:gd name="connsiteX167" fmla="*/ 183661 w 676030"/>
              <a:gd name="connsiteY167" fmla="*/ 70338 h 297169"/>
              <a:gd name="connsiteX168" fmla="*/ 171938 w 676030"/>
              <a:gd name="connsiteY168" fmla="*/ 74246 h 297169"/>
              <a:gd name="connsiteX169" fmla="*/ 207107 w 676030"/>
              <a:gd name="connsiteY169" fmla="*/ 66431 h 297169"/>
              <a:gd name="connsiteX170" fmla="*/ 238369 w 676030"/>
              <a:gd name="connsiteY170" fmla="*/ 46892 h 297169"/>
              <a:gd name="connsiteX171" fmla="*/ 254000 w 676030"/>
              <a:gd name="connsiteY171" fmla="*/ 35169 h 297169"/>
              <a:gd name="connsiteX172" fmla="*/ 289169 w 676030"/>
              <a:gd name="connsiteY172" fmla="*/ 27354 h 297169"/>
              <a:gd name="connsiteX173" fmla="*/ 472830 w 676030"/>
              <a:gd name="connsiteY173" fmla="*/ 35169 h 297169"/>
              <a:gd name="connsiteX174" fmla="*/ 511907 w 676030"/>
              <a:gd name="connsiteY174" fmla="*/ 42984 h 297169"/>
              <a:gd name="connsiteX175" fmla="*/ 543169 w 676030"/>
              <a:gd name="connsiteY175" fmla="*/ 46892 h 297169"/>
              <a:gd name="connsiteX176" fmla="*/ 562707 w 676030"/>
              <a:gd name="connsiteY176" fmla="*/ 50800 h 297169"/>
              <a:gd name="connsiteX177" fmla="*/ 574430 w 676030"/>
              <a:gd name="connsiteY177" fmla="*/ 54708 h 297169"/>
              <a:gd name="connsiteX178" fmla="*/ 558800 w 676030"/>
              <a:gd name="connsiteY178" fmla="*/ 46892 h 297169"/>
              <a:gd name="connsiteX179" fmla="*/ 519723 w 676030"/>
              <a:gd name="connsiteY179" fmla="*/ 31261 h 297169"/>
              <a:gd name="connsiteX180" fmla="*/ 461107 w 676030"/>
              <a:gd name="connsiteY180" fmla="*/ 35169 h 297169"/>
              <a:gd name="connsiteX181" fmla="*/ 382954 w 676030"/>
              <a:gd name="connsiteY181" fmla="*/ 62523 h 297169"/>
              <a:gd name="connsiteX182" fmla="*/ 339969 w 676030"/>
              <a:gd name="connsiteY182" fmla="*/ 74246 h 297169"/>
              <a:gd name="connsiteX183" fmla="*/ 269630 w 676030"/>
              <a:gd name="connsiteY183" fmla="*/ 85969 h 297169"/>
              <a:gd name="connsiteX184" fmla="*/ 254000 w 676030"/>
              <a:gd name="connsiteY184" fmla="*/ 89877 h 297169"/>
              <a:gd name="connsiteX185" fmla="*/ 265723 w 676030"/>
              <a:gd name="connsiteY185" fmla="*/ 97692 h 297169"/>
              <a:gd name="connsiteX186" fmla="*/ 285261 w 676030"/>
              <a:gd name="connsiteY186" fmla="*/ 85969 h 297169"/>
              <a:gd name="connsiteX187" fmla="*/ 296984 w 676030"/>
              <a:gd name="connsiteY187" fmla="*/ 78154 h 297169"/>
              <a:gd name="connsiteX188" fmla="*/ 324338 w 676030"/>
              <a:gd name="connsiteY188" fmla="*/ 66431 h 297169"/>
              <a:gd name="connsiteX189" fmla="*/ 484554 w 676030"/>
              <a:gd name="connsiteY189" fmla="*/ 70338 h 297169"/>
              <a:gd name="connsiteX190" fmla="*/ 511907 w 676030"/>
              <a:gd name="connsiteY190" fmla="*/ 74246 h 297169"/>
              <a:gd name="connsiteX191" fmla="*/ 558800 w 676030"/>
              <a:gd name="connsiteY191" fmla="*/ 82061 h 297169"/>
              <a:gd name="connsiteX192" fmla="*/ 593969 w 676030"/>
              <a:gd name="connsiteY192" fmla="*/ 89877 h 297169"/>
              <a:gd name="connsiteX193" fmla="*/ 621323 w 676030"/>
              <a:gd name="connsiteY193" fmla="*/ 101600 h 297169"/>
              <a:gd name="connsiteX194" fmla="*/ 593969 w 676030"/>
              <a:gd name="connsiteY194" fmla="*/ 105508 h 297169"/>
              <a:gd name="connsiteX195" fmla="*/ 562707 w 676030"/>
              <a:gd name="connsiteY195" fmla="*/ 85969 h 297169"/>
              <a:gd name="connsiteX196" fmla="*/ 543169 w 676030"/>
              <a:gd name="connsiteY196" fmla="*/ 78154 h 297169"/>
              <a:gd name="connsiteX197" fmla="*/ 410307 w 676030"/>
              <a:gd name="connsiteY197" fmla="*/ 82061 h 297169"/>
              <a:gd name="connsiteX198" fmla="*/ 429846 w 676030"/>
              <a:gd name="connsiteY198" fmla="*/ 85969 h 297169"/>
              <a:gd name="connsiteX199" fmla="*/ 527538 w 676030"/>
              <a:gd name="connsiteY199" fmla="*/ 89877 h 297169"/>
              <a:gd name="connsiteX200" fmla="*/ 543169 w 676030"/>
              <a:gd name="connsiteY200" fmla="*/ 93784 h 297169"/>
              <a:gd name="connsiteX201" fmla="*/ 562707 w 676030"/>
              <a:gd name="connsiteY201" fmla="*/ 105508 h 297169"/>
              <a:gd name="connsiteX202" fmla="*/ 586154 w 676030"/>
              <a:gd name="connsiteY202" fmla="*/ 117231 h 297169"/>
              <a:gd name="connsiteX203" fmla="*/ 609600 w 676030"/>
              <a:gd name="connsiteY203" fmla="*/ 125046 h 297169"/>
              <a:gd name="connsiteX204" fmla="*/ 625230 w 676030"/>
              <a:gd name="connsiteY204" fmla="*/ 132861 h 297169"/>
              <a:gd name="connsiteX205" fmla="*/ 636954 w 676030"/>
              <a:gd name="connsiteY205" fmla="*/ 140677 h 297169"/>
              <a:gd name="connsiteX206" fmla="*/ 625230 w 676030"/>
              <a:gd name="connsiteY206" fmla="*/ 136769 h 297169"/>
              <a:gd name="connsiteX207" fmla="*/ 605692 w 676030"/>
              <a:gd name="connsiteY207" fmla="*/ 125046 h 297169"/>
              <a:gd name="connsiteX208" fmla="*/ 593969 w 676030"/>
              <a:gd name="connsiteY208" fmla="*/ 121138 h 297169"/>
              <a:gd name="connsiteX209" fmla="*/ 578338 w 676030"/>
              <a:gd name="connsiteY209" fmla="*/ 113323 h 297169"/>
              <a:gd name="connsiteX210" fmla="*/ 539261 w 676030"/>
              <a:gd name="connsiteY210" fmla="*/ 109415 h 297169"/>
              <a:gd name="connsiteX211" fmla="*/ 300892 w 676030"/>
              <a:gd name="connsiteY211" fmla="*/ 113323 h 297169"/>
              <a:gd name="connsiteX212" fmla="*/ 257907 w 676030"/>
              <a:gd name="connsiteY212" fmla="*/ 117231 h 297169"/>
              <a:gd name="connsiteX213" fmla="*/ 156307 w 676030"/>
              <a:gd name="connsiteY213" fmla="*/ 125046 h 297169"/>
              <a:gd name="connsiteX214" fmla="*/ 191477 w 676030"/>
              <a:gd name="connsiteY214" fmla="*/ 128954 h 297169"/>
              <a:gd name="connsiteX215" fmla="*/ 222738 w 676030"/>
              <a:gd name="connsiteY215" fmla="*/ 113323 h 297169"/>
              <a:gd name="connsiteX216" fmla="*/ 558800 w 676030"/>
              <a:gd name="connsiteY216" fmla="*/ 117231 h 297169"/>
              <a:gd name="connsiteX217" fmla="*/ 570523 w 676030"/>
              <a:gd name="connsiteY217" fmla="*/ 125046 h 297169"/>
              <a:gd name="connsiteX218" fmla="*/ 543169 w 676030"/>
              <a:gd name="connsiteY218" fmla="*/ 128954 h 297169"/>
              <a:gd name="connsiteX219" fmla="*/ 496277 w 676030"/>
              <a:gd name="connsiteY219" fmla="*/ 125046 h 297169"/>
              <a:gd name="connsiteX220" fmla="*/ 476738 w 676030"/>
              <a:gd name="connsiteY220" fmla="*/ 117231 h 297169"/>
              <a:gd name="connsiteX221" fmla="*/ 410307 w 676030"/>
              <a:gd name="connsiteY221" fmla="*/ 109415 h 297169"/>
              <a:gd name="connsiteX222" fmla="*/ 359507 w 676030"/>
              <a:gd name="connsiteY222" fmla="*/ 97692 h 297169"/>
              <a:gd name="connsiteX223" fmla="*/ 343877 w 676030"/>
              <a:gd name="connsiteY223" fmla="*/ 101600 h 297169"/>
              <a:gd name="connsiteX224" fmla="*/ 390769 w 676030"/>
              <a:gd name="connsiteY224" fmla="*/ 109415 h 297169"/>
              <a:gd name="connsiteX225" fmla="*/ 535354 w 676030"/>
              <a:gd name="connsiteY225" fmla="*/ 117231 h 297169"/>
              <a:gd name="connsiteX226" fmla="*/ 566615 w 676030"/>
              <a:gd name="connsiteY226" fmla="*/ 128954 h 297169"/>
              <a:gd name="connsiteX227" fmla="*/ 617415 w 676030"/>
              <a:gd name="connsiteY227" fmla="*/ 152400 h 297169"/>
              <a:gd name="connsiteX228" fmla="*/ 621323 w 676030"/>
              <a:gd name="connsiteY228" fmla="*/ 164123 h 297169"/>
              <a:gd name="connsiteX229" fmla="*/ 609600 w 676030"/>
              <a:gd name="connsiteY229" fmla="*/ 160215 h 297169"/>
              <a:gd name="connsiteX230" fmla="*/ 593969 w 676030"/>
              <a:gd name="connsiteY230" fmla="*/ 156308 h 297169"/>
              <a:gd name="connsiteX231" fmla="*/ 558800 w 676030"/>
              <a:gd name="connsiteY231" fmla="*/ 140677 h 297169"/>
              <a:gd name="connsiteX232" fmla="*/ 539261 w 676030"/>
              <a:gd name="connsiteY232" fmla="*/ 132861 h 297169"/>
              <a:gd name="connsiteX233" fmla="*/ 527538 w 676030"/>
              <a:gd name="connsiteY233" fmla="*/ 125046 h 297169"/>
              <a:gd name="connsiteX234" fmla="*/ 461107 w 676030"/>
              <a:gd name="connsiteY234" fmla="*/ 97692 h 297169"/>
              <a:gd name="connsiteX235" fmla="*/ 422030 w 676030"/>
              <a:gd name="connsiteY235" fmla="*/ 89877 h 297169"/>
              <a:gd name="connsiteX236" fmla="*/ 363415 w 676030"/>
              <a:gd name="connsiteY236" fmla="*/ 74246 h 297169"/>
              <a:gd name="connsiteX237" fmla="*/ 347784 w 676030"/>
              <a:gd name="connsiteY237" fmla="*/ 66431 h 297169"/>
              <a:gd name="connsiteX238" fmla="*/ 355600 w 676030"/>
              <a:gd name="connsiteY238" fmla="*/ 78154 h 297169"/>
              <a:gd name="connsiteX239" fmla="*/ 418123 w 676030"/>
              <a:gd name="connsiteY239" fmla="*/ 82061 h 297169"/>
              <a:gd name="connsiteX240" fmla="*/ 453292 w 676030"/>
              <a:gd name="connsiteY240" fmla="*/ 85969 h 297169"/>
              <a:gd name="connsiteX241" fmla="*/ 488461 w 676030"/>
              <a:gd name="connsiteY241" fmla="*/ 93784 h 297169"/>
              <a:gd name="connsiteX242" fmla="*/ 547077 w 676030"/>
              <a:gd name="connsiteY242" fmla="*/ 97692 h 297169"/>
              <a:gd name="connsiteX243" fmla="*/ 586154 w 676030"/>
              <a:gd name="connsiteY243" fmla="*/ 105508 h 297169"/>
              <a:gd name="connsiteX244" fmla="*/ 617415 w 676030"/>
              <a:gd name="connsiteY244" fmla="*/ 113323 h 297169"/>
              <a:gd name="connsiteX245" fmla="*/ 633046 w 676030"/>
              <a:gd name="connsiteY245" fmla="*/ 117231 h 297169"/>
              <a:gd name="connsiteX246" fmla="*/ 648677 w 676030"/>
              <a:gd name="connsiteY246" fmla="*/ 121138 h 297169"/>
              <a:gd name="connsiteX247" fmla="*/ 640861 w 676030"/>
              <a:gd name="connsiteY247" fmla="*/ 140677 h 297169"/>
              <a:gd name="connsiteX248" fmla="*/ 621323 w 676030"/>
              <a:gd name="connsiteY248" fmla="*/ 128954 h 297169"/>
              <a:gd name="connsiteX249" fmla="*/ 597877 w 676030"/>
              <a:gd name="connsiteY249" fmla="*/ 117231 h 297169"/>
              <a:gd name="connsiteX250" fmla="*/ 574430 w 676030"/>
              <a:gd name="connsiteY250" fmla="*/ 101600 h 297169"/>
              <a:gd name="connsiteX251" fmla="*/ 543169 w 676030"/>
              <a:gd name="connsiteY251" fmla="*/ 85969 h 297169"/>
              <a:gd name="connsiteX252" fmla="*/ 445477 w 676030"/>
              <a:gd name="connsiteY252" fmla="*/ 66431 h 297169"/>
              <a:gd name="connsiteX253" fmla="*/ 371230 w 676030"/>
              <a:gd name="connsiteY253" fmla="*/ 70338 h 297169"/>
              <a:gd name="connsiteX254" fmla="*/ 406400 w 676030"/>
              <a:gd name="connsiteY254" fmla="*/ 82061 h 297169"/>
              <a:gd name="connsiteX255" fmla="*/ 445477 w 676030"/>
              <a:gd name="connsiteY255" fmla="*/ 89877 h 297169"/>
              <a:gd name="connsiteX256" fmla="*/ 488461 w 676030"/>
              <a:gd name="connsiteY256" fmla="*/ 105508 h 297169"/>
              <a:gd name="connsiteX257" fmla="*/ 543169 w 676030"/>
              <a:gd name="connsiteY257" fmla="*/ 136769 h 297169"/>
              <a:gd name="connsiteX258" fmla="*/ 574430 w 676030"/>
              <a:gd name="connsiteY258" fmla="*/ 156308 h 297169"/>
              <a:gd name="connsiteX259" fmla="*/ 597877 w 676030"/>
              <a:gd name="connsiteY259" fmla="*/ 168031 h 297169"/>
              <a:gd name="connsiteX260" fmla="*/ 621323 w 676030"/>
              <a:gd name="connsiteY260" fmla="*/ 187569 h 297169"/>
              <a:gd name="connsiteX261" fmla="*/ 617415 w 676030"/>
              <a:gd name="connsiteY261" fmla="*/ 175846 h 297169"/>
              <a:gd name="connsiteX262" fmla="*/ 590061 w 676030"/>
              <a:gd name="connsiteY262" fmla="*/ 152400 h 297169"/>
              <a:gd name="connsiteX263" fmla="*/ 566615 w 676030"/>
              <a:gd name="connsiteY263" fmla="*/ 132861 h 297169"/>
              <a:gd name="connsiteX264" fmla="*/ 543169 w 676030"/>
              <a:gd name="connsiteY264" fmla="*/ 128954 h 297169"/>
              <a:gd name="connsiteX265" fmla="*/ 472830 w 676030"/>
              <a:gd name="connsiteY265" fmla="*/ 121138 h 297169"/>
              <a:gd name="connsiteX266" fmla="*/ 418123 w 676030"/>
              <a:gd name="connsiteY266" fmla="*/ 113323 h 297169"/>
              <a:gd name="connsiteX267" fmla="*/ 406400 w 676030"/>
              <a:gd name="connsiteY267" fmla="*/ 109415 h 297169"/>
              <a:gd name="connsiteX268" fmla="*/ 379046 w 676030"/>
              <a:gd name="connsiteY268" fmla="*/ 101600 h 297169"/>
              <a:gd name="connsiteX269" fmla="*/ 363415 w 676030"/>
              <a:gd name="connsiteY269" fmla="*/ 93784 h 297169"/>
              <a:gd name="connsiteX270" fmla="*/ 379046 w 676030"/>
              <a:gd name="connsiteY270" fmla="*/ 97692 h 297169"/>
              <a:gd name="connsiteX271" fmla="*/ 422030 w 676030"/>
              <a:gd name="connsiteY271" fmla="*/ 109415 h 297169"/>
              <a:gd name="connsiteX272" fmla="*/ 441569 w 676030"/>
              <a:gd name="connsiteY272" fmla="*/ 121138 h 297169"/>
              <a:gd name="connsiteX273" fmla="*/ 465015 w 676030"/>
              <a:gd name="connsiteY273" fmla="*/ 132861 h 297169"/>
              <a:gd name="connsiteX274" fmla="*/ 496277 w 676030"/>
              <a:gd name="connsiteY274" fmla="*/ 144584 h 297169"/>
              <a:gd name="connsiteX275" fmla="*/ 531446 w 676030"/>
              <a:gd name="connsiteY275" fmla="*/ 164123 h 297169"/>
              <a:gd name="connsiteX276" fmla="*/ 562707 w 676030"/>
              <a:gd name="connsiteY276" fmla="*/ 179754 h 297169"/>
              <a:gd name="connsiteX277" fmla="*/ 582246 w 676030"/>
              <a:gd name="connsiteY277" fmla="*/ 195384 h 297169"/>
              <a:gd name="connsiteX278" fmla="*/ 621323 w 676030"/>
              <a:gd name="connsiteY278" fmla="*/ 218831 h 297169"/>
              <a:gd name="connsiteX279" fmla="*/ 633046 w 676030"/>
              <a:gd name="connsiteY279" fmla="*/ 234461 h 297169"/>
              <a:gd name="connsiteX280" fmla="*/ 640861 w 676030"/>
              <a:gd name="connsiteY280" fmla="*/ 257908 h 297169"/>
              <a:gd name="connsiteX281" fmla="*/ 613507 w 676030"/>
              <a:gd name="connsiteY281" fmla="*/ 207108 h 297169"/>
              <a:gd name="connsiteX282" fmla="*/ 601784 w 676030"/>
              <a:gd name="connsiteY282" fmla="*/ 191477 h 297169"/>
              <a:gd name="connsiteX283" fmla="*/ 593969 w 676030"/>
              <a:gd name="connsiteY283" fmla="*/ 175846 h 297169"/>
              <a:gd name="connsiteX284" fmla="*/ 578338 w 676030"/>
              <a:gd name="connsiteY284" fmla="*/ 152400 h 297169"/>
              <a:gd name="connsiteX285" fmla="*/ 570523 w 676030"/>
              <a:gd name="connsiteY285" fmla="*/ 140677 h 297169"/>
              <a:gd name="connsiteX286" fmla="*/ 543169 w 676030"/>
              <a:gd name="connsiteY286" fmla="*/ 117231 h 297169"/>
              <a:gd name="connsiteX287" fmla="*/ 535354 w 676030"/>
              <a:gd name="connsiteY287" fmla="*/ 109415 h 297169"/>
              <a:gd name="connsiteX288" fmla="*/ 511907 w 676030"/>
              <a:gd name="connsiteY288" fmla="*/ 101600 h 297169"/>
              <a:gd name="connsiteX289" fmla="*/ 468923 w 676030"/>
              <a:gd name="connsiteY289" fmla="*/ 105508 h 297169"/>
              <a:gd name="connsiteX290" fmla="*/ 519723 w 676030"/>
              <a:gd name="connsiteY290" fmla="*/ 121138 h 297169"/>
              <a:gd name="connsiteX291" fmla="*/ 535354 w 676030"/>
              <a:gd name="connsiteY291" fmla="*/ 128954 h 297169"/>
              <a:gd name="connsiteX292" fmla="*/ 547077 w 676030"/>
              <a:gd name="connsiteY292" fmla="*/ 132861 h 297169"/>
              <a:gd name="connsiteX293" fmla="*/ 554892 w 676030"/>
              <a:gd name="connsiteY293" fmla="*/ 140677 h 297169"/>
              <a:gd name="connsiteX294" fmla="*/ 566615 w 676030"/>
              <a:gd name="connsiteY294" fmla="*/ 144584 h 297169"/>
              <a:gd name="connsiteX295" fmla="*/ 586154 w 676030"/>
              <a:gd name="connsiteY295" fmla="*/ 152400 h 297169"/>
              <a:gd name="connsiteX296" fmla="*/ 601784 w 676030"/>
              <a:gd name="connsiteY296" fmla="*/ 156308 h 297169"/>
              <a:gd name="connsiteX297" fmla="*/ 617415 w 676030"/>
              <a:gd name="connsiteY297" fmla="*/ 164123 h 297169"/>
              <a:gd name="connsiteX298" fmla="*/ 648677 w 676030"/>
              <a:gd name="connsiteY298" fmla="*/ 187569 h 297169"/>
              <a:gd name="connsiteX299" fmla="*/ 660400 w 676030"/>
              <a:gd name="connsiteY299" fmla="*/ 203200 h 297169"/>
              <a:gd name="connsiteX300" fmla="*/ 676030 w 676030"/>
              <a:gd name="connsiteY300" fmla="*/ 238369 h 297169"/>
              <a:gd name="connsiteX301" fmla="*/ 672123 w 676030"/>
              <a:gd name="connsiteY301" fmla="*/ 211015 h 297169"/>
              <a:gd name="connsiteX302" fmla="*/ 648677 w 676030"/>
              <a:gd name="connsiteY302" fmla="*/ 171938 h 297169"/>
              <a:gd name="connsiteX303" fmla="*/ 640861 w 676030"/>
              <a:gd name="connsiteY303" fmla="*/ 160215 h 297169"/>
              <a:gd name="connsiteX304" fmla="*/ 625230 w 676030"/>
              <a:gd name="connsiteY304" fmla="*/ 156308 h 297169"/>
              <a:gd name="connsiteX305" fmla="*/ 605692 w 676030"/>
              <a:gd name="connsiteY305" fmla="*/ 144584 h 297169"/>
              <a:gd name="connsiteX306" fmla="*/ 593969 w 676030"/>
              <a:gd name="connsiteY306" fmla="*/ 136769 h 297169"/>
              <a:gd name="connsiteX307" fmla="*/ 578338 w 676030"/>
              <a:gd name="connsiteY307" fmla="*/ 132861 h 297169"/>
              <a:gd name="connsiteX308" fmla="*/ 566615 w 676030"/>
              <a:gd name="connsiteY308" fmla="*/ 128954 h 297169"/>
              <a:gd name="connsiteX309" fmla="*/ 558800 w 676030"/>
              <a:gd name="connsiteY309" fmla="*/ 121138 h 297169"/>
              <a:gd name="connsiteX310" fmla="*/ 566615 w 676030"/>
              <a:gd name="connsiteY310" fmla="*/ 132861 h 297169"/>
              <a:gd name="connsiteX311" fmla="*/ 586154 w 676030"/>
              <a:gd name="connsiteY311" fmla="*/ 152400 h 297169"/>
              <a:gd name="connsiteX312" fmla="*/ 593969 w 676030"/>
              <a:gd name="connsiteY312" fmla="*/ 164123 h 297169"/>
              <a:gd name="connsiteX313" fmla="*/ 613507 w 676030"/>
              <a:gd name="connsiteY313" fmla="*/ 187569 h 297169"/>
              <a:gd name="connsiteX314" fmla="*/ 617415 w 676030"/>
              <a:gd name="connsiteY314" fmla="*/ 199292 h 297169"/>
              <a:gd name="connsiteX315" fmla="*/ 613507 w 676030"/>
              <a:gd name="connsiteY315" fmla="*/ 238369 h 297169"/>
              <a:gd name="connsiteX316" fmla="*/ 601784 w 676030"/>
              <a:gd name="connsiteY316" fmla="*/ 246184 h 297169"/>
              <a:gd name="connsiteX317" fmla="*/ 590061 w 676030"/>
              <a:gd name="connsiteY317" fmla="*/ 250092 h 297169"/>
              <a:gd name="connsiteX318" fmla="*/ 609600 w 676030"/>
              <a:gd name="connsiteY318" fmla="*/ 246184 h 297169"/>
              <a:gd name="connsiteX319" fmla="*/ 625230 w 676030"/>
              <a:gd name="connsiteY319" fmla="*/ 238369 h 297169"/>
              <a:gd name="connsiteX320" fmla="*/ 636954 w 676030"/>
              <a:gd name="connsiteY320" fmla="*/ 230554 h 297169"/>
              <a:gd name="connsiteX321" fmla="*/ 648677 w 676030"/>
              <a:gd name="connsiteY321" fmla="*/ 226646 h 297169"/>
              <a:gd name="connsiteX322" fmla="*/ 656492 w 676030"/>
              <a:gd name="connsiteY322" fmla="*/ 211015 h 297169"/>
              <a:gd name="connsiteX323" fmla="*/ 636954 w 676030"/>
              <a:gd name="connsiteY323" fmla="*/ 140677 h 297169"/>
              <a:gd name="connsiteX324" fmla="*/ 609600 w 676030"/>
              <a:gd name="connsiteY324" fmla="*/ 125046 h 297169"/>
              <a:gd name="connsiteX325" fmla="*/ 586154 w 676030"/>
              <a:gd name="connsiteY325" fmla="*/ 117231 h 297169"/>
              <a:gd name="connsiteX326" fmla="*/ 566615 w 676030"/>
              <a:gd name="connsiteY326" fmla="*/ 121138 h 297169"/>
              <a:gd name="connsiteX327" fmla="*/ 570523 w 676030"/>
              <a:gd name="connsiteY327" fmla="*/ 136769 h 297169"/>
              <a:gd name="connsiteX328" fmla="*/ 582246 w 676030"/>
              <a:gd name="connsiteY328" fmla="*/ 160215 h 297169"/>
              <a:gd name="connsiteX329" fmla="*/ 593969 w 676030"/>
              <a:gd name="connsiteY329" fmla="*/ 168031 h 297169"/>
              <a:gd name="connsiteX330" fmla="*/ 601784 w 676030"/>
              <a:gd name="connsiteY330" fmla="*/ 179754 h 297169"/>
              <a:gd name="connsiteX331" fmla="*/ 609600 w 676030"/>
              <a:gd name="connsiteY331" fmla="*/ 187569 h 297169"/>
              <a:gd name="connsiteX332" fmla="*/ 617415 w 676030"/>
              <a:gd name="connsiteY332" fmla="*/ 203200 h 297169"/>
              <a:gd name="connsiteX333" fmla="*/ 633046 w 676030"/>
              <a:gd name="connsiteY333" fmla="*/ 222738 h 297169"/>
              <a:gd name="connsiteX334" fmla="*/ 644769 w 676030"/>
              <a:gd name="connsiteY334" fmla="*/ 250092 h 297169"/>
              <a:gd name="connsiteX335" fmla="*/ 656492 w 676030"/>
              <a:gd name="connsiteY335" fmla="*/ 273538 h 297169"/>
              <a:gd name="connsiteX336" fmla="*/ 640861 w 676030"/>
              <a:gd name="connsiteY336" fmla="*/ 296984 h 297169"/>
              <a:gd name="connsiteX337" fmla="*/ 609600 w 676030"/>
              <a:gd name="connsiteY337" fmla="*/ 293077 h 297169"/>
              <a:gd name="connsiteX338" fmla="*/ 593969 w 676030"/>
              <a:gd name="connsiteY338" fmla="*/ 289169 h 297169"/>
              <a:gd name="connsiteX339" fmla="*/ 582246 w 676030"/>
              <a:gd name="connsiteY339" fmla="*/ 285261 h 297169"/>
              <a:gd name="connsiteX340" fmla="*/ 617415 w 676030"/>
              <a:gd name="connsiteY340" fmla="*/ 273538 h 297169"/>
              <a:gd name="connsiteX341" fmla="*/ 648677 w 676030"/>
              <a:gd name="connsiteY341" fmla="*/ 257908 h 297169"/>
              <a:gd name="connsiteX342" fmla="*/ 656492 w 676030"/>
              <a:gd name="connsiteY342" fmla="*/ 246184 h 297169"/>
              <a:gd name="connsiteX343" fmla="*/ 656492 w 676030"/>
              <a:gd name="connsiteY343" fmla="*/ 199292 h 297169"/>
              <a:gd name="connsiteX344" fmla="*/ 644769 w 676030"/>
              <a:gd name="connsiteY344" fmla="*/ 195384 h 297169"/>
              <a:gd name="connsiteX345" fmla="*/ 629138 w 676030"/>
              <a:gd name="connsiteY345" fmla="*/ 199292 h 297169"/>
              <a:gd name="connsiteX346" fmla="*/ 625230 w 676030"/>
              <a:gd name="connsiteY346" fmla="*/ 211015 h 297169"/>
              <a:gd name="connsiteX347" fmla="*/ 636954 w 676030"/>
              <a:gd name="connsiteY347" fmla="*/ 238369 h 297169"/>
              <a:gd name="connsiteX348" fmla="*/ 640861 w 676030"/>
              <a:gd name="connsiteY348" fmla="*/ 254000 h 297169"/>
              <a:gd name="connsiteX349" fmla="*/ 629138 w 676030"/>
              <a:gd name="connsiteY349" fmla="*/ 277446 h 297169"/>
              <a:gd name="connsiteX350" fmla="*/ 617415 w 676030"/>
              <a:gd name="connsiteY350" fmla="*/ 285261 h 297169"/>
              <a:gd name="connsiteX351" fmla="*/ 582246 w 676030"/>
              <a:gd name="connsiteY351" fmla="*/ 281354 h 297169"/>
              <a:gd name="connsiteX352" fmla="*/ 613507 w 676030"/>
              <a:gd name="connsiteY352" fmla="*/ 277446 h 297169"/>
              <a:gd name="connsiteX353" fmla="*/ 636954 w 676030"/>
              <a:gd name="connsiteY353" fmla="*/ 265723 h 297169"/>
              <a:gd name="connsiteX354" fmla="*/ 660400 w 676030"/>
              <a:gd name="connsiteY354" fmla="*/ 246184 h 297169"/>
              <a:gd name="connsiteX355" fmla="*/ 656492 w 676030"/>
              <a:gd name="connsiteY355" fmla="*/ 199292 h 297169"/>
              <a:gd name="connsiteX356" fmla="*/ 633046 w 676030"/>
              <a:gd name="connsiteY356" fmla="*/ 183661 h 297169"/>
              <a:gd name="connsiteX357" fmla="*/ 570523 w 676030"/>
              <a:gd name="connsiteY357" fmla="*/ 179754 h 297169"/>
              <a:gd name="connsiteX358" fmla="*/ 519723 w 676030"/>
              <a:gd name="connsiteY358" fmla="*/ 156308 h 297169"/>
              <a:gd name="connsiteX359" fmla="*/ 496277 w 676030"/>
              <a:gd name="connsiteY359" fmla="*/ 148492 h 297169"/>
              <a:gd name="connsiteX360" fmla="*/ 476738 w 676030"/>
              <a:gd name="connsiteY360" fmla="*/ 140677 h 297169"/>
              <a:gd name="connsiteX361" fmla="*/ 461107 w 676030"/>
              <a:gd name="connsiteY361" fmla="*/ 132861 h 297169"/>
              <a:gd name="connsiteX362" fmla="*/ 308707 w 676030"/>
              <a:gd name="connsiteY362" fmla="*/ 128954 h 297169"/>
              <a:gd name="connsiteX363" fmla="*/ 62523 w 676030"/>
              <a:gd name="connsiteY363" fmla="*/ 128954 h 297169"/>
              <a:gd name="connsiteX364" fmla="*/ 31261 w 676030"/>
              <a:gd name="connsiteY364" fmla="*/ 136769 h 297169"/>
              <a:gd name="connsiteX365" fmla="*/ 11723 w 676030"/>
              <a:gd name="connsiteY365" fmla="*/ 152400 h 297169"/>
              <a:gd name="connsiteX366" fmla="*/ 7815 w 676030"/>
              <a:gd name="connsiteY366" fmla="*/ 168031 h 297169"/>
              <a:gd name="connsiteX367" fmla="*/ 0 w 676030"/>
              <a:gd name="connsiteY367" fmla="*/ 191477 h 297169"/>
              <a:gd name="connsiteX368" fmla="*/ 11723 w 676030"/>
              <a:gd name="connsiteY368" fmla="*/ 140677 h 297169"/>
              <a:gd name="connsiteX369" fmla="*/ 50800 w 676030"/>
              <a:gd name="connsiteY369" fmla="*/ 101600 h 297169"/>
              <a:gd name="connsiteX370" fmla="*/ 70338 w 676030"/>
              <a:gd name="connsiteY370" fmla="*/ 89877 h 297169"/>
              <a:gd name="connsiteX371" fmla="*/ 117230 w 676030"/>
              <a:gd name="connsiteY371" fmla="*/ 93784 h 297169"/>
              <a:gd name="connsiteX372" fmla="*/ 152400 w 676030"/>
              <a:gd name="connsiteY372" fmla="*/ 105508 h 297169"/>
              <a:gd name="connsiteX373" fmla="*/ 207107 w 676030"/>
              <a:gd name="connsiteY373" fmla="*/ 117231 h 297169"/>
              <a:gd name="connsiteX374" fmla="*/ 179754 w 676030"/>
              <a:gd name="connsiteY374" fmla="*/ 121138 h 297169"/>
              <a:gd name="connsiteX375" fmla="*/ 85969 w 676030"/>
              <a:gd name="connsiteY375" fmla="*/ 125046 h 297169"/>
              <a:gd name="connsiteX376" fmla="*/ 89877 w 676030"/>
              <a:gd name="connsiteY376" fmla="*/ 164123 h 297169"/>
              <a:gd name="connsiteX377" fmla="*/ 101600 w 676030"/>
              <a:gd name="connsiteY377" fmla="*/ 171938 h 297169"/>
              <a:gd name="connsiteX378" fmla="*/ 128954 w 676030"/>
              <a:gd name="connsiteY378" fmla="*/ 187569 h 297169"/>
              <a:gd name="connsiteX379" fmla="*/ 152400 w 676030"/>
              <a:gd name="connsiteY379" fmla="*/ 183661 h 297169"/>
              <a:gd name="connsiteX380" fmla="*/ 125046 w 676030"/>
              <a:gd name="connsiteY380" fmla="*/ 179754 h 297169"/>
              <a:gd name="connsiteX381" fmla="*/ 109415 w 676030"/>
              <a:gd name="connsiteY381" fmla="*/ 175846 h 297169"/>
              <a:gd name="connsiteX382" fmla="*/ 70338 w 676030"/>
              <a:gd name="connsiteY382" fmla="*/ 148492 h 297169"/>
              <a:gd name="connsiteX383" fmla="*/ 58615 w 676030"/>
              <a:gd name="connsiteY383" fmla="*/ 136769 h 297169"/>
              <a:gd name="connsiteX384" fmla="*/ 54707 w 676030"/>
              <a:gd name="connsiteY384" fmla="*/ 125046 h 297169"/>
              <a:gd name="connsiteX385" fmla="*/ 78154 w 676030"/>
              <a:gd name="connsiteY385" fmla="*/ 93784 h 297169"/>
              <a:gd name="connsiteX386" fmla="*/ 101600 w 676030"/>
              <a:gd name="connsiteY386" fmla="*/ 66431 h 297169"/>
              <a:gd name="connsiteX387" fmla="*/ 117230 w 676030"/>
              <a:gd name="connsiteY387" fmla="*/ 58615 h 297169"/>
              <a:gd name="connsiteX388" fmla="*/ 171938 w 676030"/>
              <a:gd name="connsiteY388" fmla="*/ 62523 h 297169"/>
              <a:gd name="connsiteX389" fmla="*/ 179754 w 676030"/>
              <a:gd name="connsiteY389" fmla="*/ 70338 h 297169"/>
              <a:gd name="connsiteX390" fmla="*/ 195384 w 676030"/>
              <a:gd name="connsiteY390" fmla="*/ 78154 h 297169"/>
              <a:gd name="connsiteX391" fmla="*/ 156307 w 676030"/>
              <a:gd name="connsiteY391" fmla="*/ 78154 h 297169"/>
              <a:gd name="connsiteX392" fmla="*/ 105507 w 676030"/>
              <a:gd name="connsiteY392" fmla="*/ 82061 h 297169"/>
              <a:gd name="connsiteX393" fmla="*/ 93784 w 676030"/>
              <a:gd name="connsiteY393" fmla="*/ 89877 h 297169"/>
              <a:gd name="connsiteX394" fmla="*/ 82061 w 676030"/>
              <a:gd name="connsiteY394" fmla="*/ 93784 h 297169"/>
              <a:gd name="connsiteX395" fmla="*/ 78154 w 676030"/>
              <a:gd name="connsiteY395" fmla="*/ 121138 h 297169"/>
              <a:gd name="connsiteX396" fmla="*/ 93784 w 676030"/>
              <a:gd name="connsiteY396" fmla="*/ 117231 h 297169"/>
              <a:gd name="connsiteX397" fmla="*/ 105507 w 676030"/>
              <a:gd name="connsiteY397" fmla="*/ 109415 h 297169"/>
              <a:gd name="connsiteX398" fmla="*/ 125046 w 676030"/>
              <a:gd name="connsiteY398" fmla="*/ 89877 h 297169"/>
              <a:gd name="connsiteX399" fmla="*/ 160215 w 676030"/>
              <a:gd name="connsiteY399" fmla="*/ 74246 h 297169"/>
              <a:gd name="connsiteX400" fmla="*/ 183661 w 676030"/>
              <a:gd name="connsiteY400" fmla="*/ 70338 h 297169"/>
              <a:gd name="connsiteX401" fmla="*/ 242277 w 676030"/>
              <a:gd name="connsiteY401" fmla="*/ 62523 h 297169"/>
              <a:gd name="connsiteX402" fmla="*/ 468923 w 676030"/>
              <a:gd name="connsiteY402" fmla="*/ 66431 h 297169"/>
              <a:gd name="connsiteX403" fmla="*/ 488461 w 676030"/>
              <a:gd name="connsiteY403" fmla="*/ 70338 h 297169"/>
              <a:gd name="connsiteX404" fmla="*/ 515815 w 676030"/>
              <a:gd name="connsiteY404" fmla="*/ 74246 h 297169"/>
              <a:gd name="connsiteX405" fmla="*/ 535354 w 676030"/>
              <a:gd name="connsiteY405" fmla="*/ 78154 h 297169"/>
              <a:gd name="connsiteX406" fmla="*/ 597877 w 676030"/>
              <a:gd name="connsiteY406" fmla="*/ 85969 h 297169"/>
              <a:gd name="connsiteX407" fmla="*/ 625230 w 676030"/>
              <a:gd name="connsiteY407" fmla="*/ 93784 h 297169"/>
              <a:gd name="connsiteX408" fmla="*/ 652584 w 676030"/>
              <a:gd name="connsiteY408" fmla="*/ 105508 h 297169"/>
              <a:gd name="connsiteX409" fmla="*/ 656492 w 676030"/>
              <a:gd name="connsiteY409" fmla="*/ 117231 h 297169"/>
              <a:gd name="connsiteX410" fmla="*/ 648677 w 676030"/>
              <a:gd name="connsiteY410" fmla="*/ 132861 h 297169"/>
              <a:gd name="connsiteX411" fmla="*/ 644769 w 676030"/>
              <a:gd name="connsiteY411" fmla="*/ 144584 h 297169"/>
              <a:gd name="connsiteX412" fmla="*/ 629138 w 676030"/>
              <a:gd name="connsiteY412" fmla="*/ 160215 h 297169"/>
              <a:gd name="connsiteX413" fmla="*/ 613507 w 676030"/>
              <a:gd name="connsiteY413" fmla="*/ 179754 h 297169"/>
              <a:gd name="connsiteX414" fmla="*/ 601784 w 676030"/>
              <a:gd name="connsiteY414" fmla="*/ 171938 h 29716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  <a:cxn ang="0">
                <a:pos x="connsiteX57" y="connsiteY57"/>
              </a:cxn>
              <a:cxn ang="0">
                <a:pos x="connsiteX58" y="connsiteY58"/>
              </a:cxn>
              <a:cxn ang="0">
                <a:pos x="connsiteX59" y="connsiteY59"/>
              </a:cxn>
              <a:cxn ang="0">
                <a:pos x="connsiteX60" y="connsiteY60"/>
              </a:cxn>
              <a:cxn ang="0">
                <a:pos x="connsiteX61" y="connsiteY61"/>
              </a:cxn>
              <a:cxn ang="0">
                <a:pos x="connsiteX62" y="connsiteY62"/>
              </a:cxn>
              <a:cxn ang="0">
                <a:pos x="connsiteX63" y="connsiteY63"/>
              </a:cxn>
              <a:cxn ang="0">
                <a:pos x="connsiteX64" y="connsiteY64"/>
              </a:cxn>
              <a:cxn ang="0">
                <a:pos x="connsiteX65" y="connsiteY65"/>
              </a:cxn>
              <a:cxn ang="0">
                <a:pos x="connsiteX66" y="connsiteY66"/>
              </a:cxn>
              <a:cxn ang="0">
                <a:pos x="connsiteX67" y="connsiteY67"/>
              </a:cxn>
              <a:cxn ang="0">
                <a:pos x="connsiteX68" y="connsiteY68"/>
              </a:cxn>
              <a:cxn ang="0">
                <a:pos x="connsiteX69" y="connsiteY69"/>
              </a:cxn>
              <a:cxn ang="0">
                <a:pos x="connsiteX70" y="connsiteY70"/>
              </a:cxn>
              <a:cxn ang="0">
                <a:pos x="connsiteX71" y="connsiteY71"/>
              </a:cxn>
              <a:cxn ang="0">
                <a:pos x="connsiteX72" y="connsiteY72"/>
              </a:cxn>
              <a:cxn ang="0">
                <a:pos x="connsiteX73" y="connsiteY73"/>
              </a:cxn>
              <a:cxn ang="0">
                <a:pos x="connsiteX74" y="connsiteY74"/>
              </a:cxn>
              <a:cxn ang="0">
                <a:pos x="connsiteX75" y="connsiteY75"/>
              </a:cxn>
              <a:cxn ang="0">
                <a:pos x="connsiteX76" y="connsiteY76"/>
              </a:cxn>
              <a:cxn ang="0">
                <a:pos x="connsiteX77" y="connsiteY77"/>
              </a:cxn>
              <a:cxn ang="0">
                <a:pos x="connsiteX78" y="connsiteY78"/>
              </a:cxn>
              <a:cxn ang="0">
                <a:pos x="connsiteX79" y="connsiteY79"/>
              </a:cxn>
              <a:cxn ang="0">
                <a:pos x="connsiteX80" y="connsiteY80"/>
              </a:cxn>
              <a:cxn ang="0">
                <a:pos x="connsiteX81" y="connsiteY81"/>
              </a:cxn>
              <a:cxn ang="0">
                <a:pos x="connsiteX82" y="connsiteY82"/>
              </a:cxn>
              <a:cxn ang="0">
                <a:pos x="connsiteX83" y="connsiteY83"/>
              </a:cxn>
              <a:cxn ang="0">
                <a:pos x="connsiteX84" y="connsiteY84"/>
              </a:cxn>
              <a:cxn ang="0">
                <a:pos x="connsiteX85" y="connsiteY85"/>
              </a:cxn>
              <a:cxn ang="0">
                <a:pos x="connsiteX86" y="connsiteY86"/>
              </a:cxn>
              <a:cxn ang="0">
                <a:pos x="connsiteX87" y="connsiteY87"/>
              </a:cxn>
              <a:cxn ang="0">
                <a:pos x="connsiteX88" y="connsiteY88"/>
              </a:cxn>
              <a:cxn ang="0">
                <a:pos x="connsiteX89" y="connsiteY89"/>
              </a:cxn>
              <a:cxn ang="0">
                <a:pos x="connsiteX90" y="connsiteY90"/>
              </a:cxn>
              <a:cxn ang="0">
                <a:pos x="connsiteX91" y="connsiteY91"/>
              </a:cxn>
              <a:cxn ang="0">
                <a:pos x="connsiteX92" y="connsiteY92"/>
              </a:cxn>
              <a:cxn ang="0">
                <a:pos x="connsiteX93" y="connsiteY93"/>
              </a:cxn>
              <a:cxn ang="0">
                <a:pos x="connsiteX94" y="connsiteY94"/>
              </a:cxn>
              <a:cxn ang="0">
                <a:pos x="connsiteX95" y="connsiteY95"/>
              </a:cxn>
              <a:cxn ang="0">
                <a:pos x="connsiteX96" y="connsiteY96"/>
              </a:cxn>
              <a:cxn ang="0">
                <a:pos x="connsiteX97" y="connsiteY97"/>
              </a:cxn>
              <a:cxn ang="0">
                <a:pos x="connsiteX98" y="connsiteY98"/>
              </a:cxn>
              <a:cxn ang="0">
                <a:pos x="connsiteX99" y="connsiteY99"/>
              </a:cxn>
              <a:cxn ang="0">
                <a:pos x="connsiteX100" y="connsiteY100"/>
              </a:cxn>
              <a:cxn ang="0">
                <a:pos x="connsiteX101" y="connsiteY101"/>
              </a:cxn>
              <a:cxn ang="0">
                <a:pos x="connsiteX102" y="connsiteY102"/>
              </a:cxn>
              <a:cxn ang="0">
                <a:pos x="connsiteX103" y="connsiteY103"/>
              </a:cxn>
              <a:cxn ang="0">
                <a:pos x="connsiteX104" y="connsiteY104"/>
              </a:cxn>
              <a:cxn ang="0">
                <a:pos x="connsiteX105" y="connsiteY105"/>
              </a:cxn>
              <a:cxn ang="0">
                <a:pos x="connsiteX106" y="connsiteY106"/>
              </a:cxn>
              <a:cxn ang="0">
                <a:pos x="connsiteX107" y="connsiteY107"/>
              </a:cxn>
              <a:cxn ang="0">
                <a:pos x="connsiteX108" y="connsiteY108"/>
              </a:cxn>
              <a:cxn ang="0">
                <a:pos x="connsiteX109" y="connsiteY109"/>
              </a:cxn>
              <a:cxn ang="0">
                <a:pos x="connsiteX110" y="connsiteY110"/>
              </a:cxn>
              <a:cxn ang="0">
                <a:pos x="connsiteX111" y="connsiteY111"/>
              </a:cxn>
              <a:cxn ang="0">
                <a:pos x="connsiteX112" y="connsiteY112"/>
              </a:cxn>
              <a:cxn ang="0">
                <a:pos x="connsiteX113" y="connsiteY113"/>
              </a:cxn>
              <a:cxn ang="0">
                <a:pos x="connsiteX114" y="connsiteY114"/>
              </a:cxn>
              <a:cxn ang="0">
                <a:pos x="connsiteX115" y="connsiteY115"/>
              </a:cxn>
              <a:cxn ang="0">
                <a:pos x="connsiteX116" y="connsiteY116"/>
              </a:cxn>
              <a:cxn ang="0">
                <a:pos x="connsiteX117" y="connsiteY117"/>
              </a:cxn>
              <a:cxn ang="0">
                <a:pos x="connsiteX118" y="connsiteY118"/>
              </a:cxn>
              <a:cxn ang="0">
                <a:pos x="connsiteX119" y="connsiteY119"/>
              </a:cxn>
              <a:cxn ang="0">
                <a:pos x="connsiteX120" y="connsiteY120"/>
              </a:cxn>
              <a:cxn ang="0">
                <a:pos x="connsiteX121" y="connsiteY121"/>
              </a:cxn>
              <a:cxn ang="0">
                <a:pos x="connsiteX122" y="connsiteY122"/>
              </a:cxn>
              <a:cxn ang="0">
                <a:pos x="connsiteX123" y="connsiteY123"/>
              </a:cxn>
              <a:cxn ang="0">
                <a:pos x="connsiteX124" y="connsiteY124"/>
              </a:cxn>
              <a:cxn ang="0">
                <a:pos x="connsiteX125" y="connsiteY125"/>
              </a:cxn>
              <a:cxn ang="0">
                <a:pos x="connsiteX126" y="connsiteY126"/>
              </a:cxn>
              <a:cxn ang="0">
                <a:pos x="connsiteX127" y="connsiteY127"/>
              </a:cxn>
              <a:cxn ang="0">
                <a:pos x="connsiteX128" y="connsiteY128"/>
              </a:cxn>
              <a:cxn ang="0">
                <a:pos x="connsiteX129" y="connsiteY129"/>
              </a:cxn>
              <a:cxn ang="0">
                <a:pos x="connsiteX130" y="connsiteY130"/>
              </a:cxn>
              <a:cxn ang="0">
                <a:pos x="connsiteX131" y="connsiteY131"/>
              </a:cxn>
              <a:cxn ang="0">
                <a:pos x="connsiteX132" y="connsiteY132"/>
              </a:cxn>
              <a:cxn ang="0">
                <a:pos x="connsiteX133" y="connsiteY133"/>
              </a:cxn>
              <a:cxn ang="0">
                <a:pos x="connsiteX134" y="connsiteY134"/>
              </a:cxn>
              <a:cxn ang="0">
                <a:pos x="connsiteX135" y="connsiteY135"/>
              </a:cxn>
              <a:cxn ang="0">
                <a:pos x="connsiteX136" y="connsiteY136"/>
              </a:cxn>
              <a:cxn ang="0">
                <a:pos x="connsiteX137" y="connsiteY137"/>
              </a:cxn>
              <a:cxn ang="0">
                <a:pos x="connsiteX138" y="connsiteY138"/>
              </a:cxn>
              <a:cxn ang="0">
                <a:pos x="connsiteX139" y="connsiteY139"/>
              </a:cxn>
              <a:cxn ang="0">
                <a:pos x="connsiteX140" y="connsiteY140"/>
              </a:cxn>
              <a:cxn ang="0">
                <a:pos x="connsiteX141" y="connsiteY141"/>
              </a:cxn>
              <a:cxn ang="0">
                <a:pos x="connsiteX142" y="connsiteY142"/>
              </a:cxn>
              <a:cxn ang="0">
                <a:pos x="connsiteX143" y="connsiteY143"/>
              </a:cxn>
              <a:cxn ang="0">
                <a:pos x="connsiteX144" y="connsiteY144"/>
              </a:cxn>
              <a:cxn ang="0">
                <a:pos x="connsiteX145" y="connsiteY145"/>
              </a:cxn>
              <a:cxn ang="0">
                <a:pos x="connsiteX146" y="connsiteY146"/>
              </a:cxn>
              <a:cxn ang="0">
                <a:pos x="connsiteX147" y="connsiteY147"/>
              </a:cxn>
              <a:cxn ang="0">
                <a:pos x="connsiteX148" y="connsiteY148"/>
              </a:cxn>
              <a:cxn ang="0">
                <a:pos x="connsiteX149" y="connsiteY149"/>
              </a:cxn>
              <a:cxn ang="0">
                <a:pos x="connsiteX150" y="connsiteY150"/>
              </a:cxn>
              <a:cxn ang="0">
                <a:pos x="connsiteX151" y="connsiteY151"/>
              </a:cxn>
              <a:cxn ang="0">
                <a:pos x="connsiteX152" y="connsiteY152"/>
              </a:cxn>
              <a:cxn ang="0">
                <a:pos x="connsiteX153" y="connsiteY153"/>
              </a:cxn>
              <a:cxn ang="0">
                <a:pos x="connsiteX154" y="connsiteY154"/>
              </a:cxn>
              <a:cxn ang="0">
                <a:pos x="connsiteX155" y="connsiteY155"/>
              </a:cxn>
              <a:cxn ang="0">
                <a:pos x="connsiteX156" y="connsiteY156"/>
              </a:cxn>
              <a:cxn ang="0">
                <a:pos x="connsiteX157" y="connsiteY157"/>
              </a:cxn>
              <a:cxn ang="0">
                <a:pos x="connsiteX158" y="connsiteY158"/>
              </a:cxn>
              <a:cxn ang="0">
                <a:pos x="connsiteX159" y="connsiteY159"/>
              </a:cxn>
              <a:cxn ang="0">
                <a:pos x="connsiteX160" y="connsiteY160"/>
              </a:cxn>
              <a:cxn ang="0">
                <a:pos x="connsiteX161" y="connsiteY161"/>
              </a:cxn>
              <a:cxn ang="0">
                <a:pos x="connsiteX162" y="connsiteY162"/>
              </a:cxn>
              <a:cxn ang="0">
                <a:pos x="connsiteX163" y="connsiteY163"/>
              </a:cxn>
              <a:cxn ang="0">
                <a:pos x="connsiteX164" y="connsiteY164"/>
              </a:cxn>
              <a:cxn ang="0">
                <a:pos x="connsiteX165" y="connsiteY165"/>
              </a:cxn>
              <a:cxn ang="0">
                <a:pos x="connsiteX166" y="connsiteY166"/>
              </a:cxn>
              <a:cxn ang="0">
                <a:pos x="connsiteX167" y="connsiteY167"/>
              </a:cxn>
              <a:cxn ang="0">
                <a:pos x="connsiteX168" y="connsiteY168"/>
              </a:cxn>
              <a:cxn ang="0">
                <a:pos x="connsiteX169" y="connsiteY169"/>
              </a:cxn>
              <a:cxn ang="0">
                <a:pos x="connsiteX170" y="connsiteY170"/>
              </a:cxn>
              <a:cxn ang="0">
                <a:pos x="connsiteX171" y="connsiteY171"/>
              </a:cxn>
              <a:cxn ang="0">
                <a:pos x="connsiteX172" y="connsiteY172"/>
              </a:cxn>
              <a:cxn ang="0">
                <a:pos x="connsiteX173" y="connsiteY173"/>
              </a:cxn>
              <a:cxn ang="0">
                <a:pos x="connsiteX174" y="connsiteY174"/>
              </a:cxn>
              <a:cxn ang="0">
                <a:pos x="connsiteX175" y="connsiteY175"/>
              </a:cxn>
              <a:cxn ang="0">
                <a:pos x="connsiteX176" y="connsiteY176"/>
              </a:cxn>
              <a:cxn ang="0">
                <a:pos x="connsiteX177" y="connsiteY177"/>
              </a:cxn>
              <a:cxn ang="0">
                <a:pos x="connsiteX178" y="connsiteY178"/>
              </a:cxn>
              <a:cxn ang="0">
                <a:pos x="connsiteX179" y="connsiteY179"/>
              </a:cxn>
              <a:cxn ang="0">
                <a:pos x="connsiteX180" y="connsiteY180"/>
              </a:cxn>
              <a:cxn ang="0">
                <a:pos x="connsiteX181" y="connsiteY181"/>
              </a:cxn>
              <a:cxn ang="0">
                <a:pos x="connsiteX182" y="connsiteY182"/>
              </a:cxn>
              <a:cxn ang="0">
                <a:pos x="connsiteX183" y="connsiteY183"/>
              </a:cxn>
              <a:cxn ang="0">
                <a:pos x="connsiteX184" y="connsiteY184"/>
              </a:cxn>
              <a:cxn ang="0">
                <a:pos x="connsiteX185" y="connsiteY185"/>
              </a:cxn>
              <a:cxn ang="0">
                <a:pos x="connsiteX186" y="connsiteY186"/>
              </a:cxn>
              <a:cxn ang="0">
                <a:pos x="connsiteX187" y="connsiteY187"/>
              </a:cxn>
              <a:cxn ang="0">
                <a:pos x="connsiteX188" y="connsiteY188"/>
              </a:cxn>
              <a:cxn ang="0">
                <a:pos x="connsiteX189" y="connsiteY189"/>
              </a:cxn>
              <a:cxn ang="0">
                <a:pos x="connsiteX190" y="connsiteY190"/>
              </a:cxn>
              <a:cxn ang="0">
                <a:pos x="connsiteX191" y="connsiteY191"/>
              </a:cxn>
              <a:cxn ang="0">
                <a:pos x="connsiteX192" y="connsiteY192"/>
              </a:cxn>
              <a:cxn ang="0">
                <a:pos x="connsiteX193" y="connsiteY193"/>
              </a:cxn>
              <a:cxn ang="0">
                <a:pos x="connsiteX194" y="connsiteY194"/>
              </a:cxn>
              <a:cxn ang="0">
                <a:pos x="connsiteX195" y="connsiteY195"/>
              </a:cxn>
              <a:cxn ang="0">
                <a:pos x="connsiteX196" y="connsiteY196"/>
              </a:cxn>
              <a:cxn ang="0">
                <a:pos x="connsiteX197" y="connsiteY197"/>
              </a:cxn>
              <a:cxn ang="0">
                <a:pos x="connsiteX198" y="connsiteY198"/>
              </a:cxn>
              <a:cxn ang="0">
                <a:pos x="connsiteX199" y="connsiteY199"/>
              </a:cxn>
              <a:cxn ang="0">
                <a:pos x="connsiteX200" y="connsiteY200"/>
              </a:cxn>
              <a:cxn ang="0">
                <a:pos x="connsiteX201" y="connsiteY201"/>
              </a:cxn>
              <a:cxn ang="0">
                <a:pos x="connsiteX202" y="connsiteY202"/>
              </a:cxn>
              <a:cxn ang="0">
                <a:pos x="connsiteX203" y="connsiteY203"/>
              </a:cxn>
              <a:cxn ang="0">
                <a:pos x="connsiteX204" y="connsiteY204"/>
              </a:cxn>
              <a:cxn ang="0">
                <a:pos x="connsiteX205" y="connsiteY205"/>
              </a:cxn>
              <a:cxn ang="0">
                <a:pos x="connsiteX206" y="connsiteY206"/>
              </a:cxn>
              <a:cxn ang="0">
                <a:pos x="connsiteX207" y="connsiteY207"/>
              </a:cxn>
              <a:cxn ang="0">
                <a:pos x="connsiteX208" y="connsiteY208"/>
              </a:cxn>
              <a:cxn ang="0">
                <a:pos x="connsiteX209" y="connsiteY209"/>
              </a:cxn>
              <a:cxn ang="0">
                <a:pos x="connsiteX210" y="connsiteY210"/>
              </a:cxn>
              <a:cxn ang="0">
                <a:pos x="connsiteX211" y="connsiteY211"/>
              </a:cxn>
              <a:cxn ang="0">
                <a:pos x="connsiteX212" y="connsiteY212"/>
              </a:cxn>
              <a:cxn ang="0">
                <a:pos x="connsiteX213" y="connsiteY213"/>
              </a:cxn>
              <a:cxn ang="0">
                <a:pos x="connsiteX214" y="connsiteY214"/>
              </a:cxn>
              <a:cxn ang="0">
                <a:pos x="connsiteX215" y="connsiteY215"/>
              </a:cxn>
              <a:cxn ang="0">
                <a:pos x="connsiteX216" y="connsiteY216"/>
              </a:cxn>
              <a:cxn ang="0">
                <a:pos x="connsiteX217" y="connsiteY217"/>
              </a:cxn>
              <a:cxn ang="0">
                <a:pos x="connsiteX218" y="connsiteY218"/>
              </a:cxn>
              <a:cxn ang="0">
                <a:pos x="connsiteX219" y="connsiteY219"/>
              </a:cxn>
              <a:cxn ang="0">
                <a:pos x="connsiteX220" y="connsiteY220"/>
              </a:cxn>
              <a:cxn ang="0">
                <a:pos x="connsiteX221" y="connsiteY221"/>
              </a:cxn>
              <a:cxn ang="0">
                <a:pos x="connsiteX222" y="connsiteY222"/>
              </a:cxn>
              <a:cxn ang="0">
                <a:pos x="connsiteX223" y="connsiteY223"/>
              </a:cxn>
              <a:cxn ang="0">
                <a:pos x="connsiteX224" y="connsiteY224"/>
              </a:cxn>
              <a:cxn ang="0">
                <a:pos x="connsiteX225" y="connsiteY225"/>
              </a:cxn>
              <a:cxn ang="0">
                <a:pos x="connsiteX226" y="connsiteY226"/>
              </a:cxn>
              <a:cxn ang="0">
                <a:pos x="connsiteX227" y="connsiteY227"/>
              </a:cxn>
              <a:cxn ang="0">
                <a:pos x="connsiteX228" y="connsiteY228"/>
              </a:cxn>
              <a:cxn ang="0">
                <a:pos x="connsiteX229" y="connsiteY229"/>
              </a:cxn>
              <a:cxn ang="0">
                <a:pos x="connsiteX230" y="connsiteY230"/>
              </a:cxn>
              <a:cxn ang="0">
                <a:pos x="connsiteX231" y="connsiteY231"/>
              </a:cxn>
              <a:cxn ang="0">
                <a:pos x="connsiteX232" y="connsiteY232"/>
              </a:cxn>
              <a:cxn ang="0">
                <a:pos x="connsiteX233" y="connsiteY233"/>
              </a:cxn>
              <a:cxn ang="0">
                <a:pos x="connsiteX234" y="connsiteY234"/>
              </a:cxn>
              <a:cxn ang="0">
                <a:pos x="connsiteX235" y="connsiteY235"/>
              </a:cxn>
              <a:cxn ang="0">
                <a:pos x="connsiteX236" y="connsiteY236"/>
              </a:cxn>
              <a:cxn ang="0">
                <a:pos x="connsiteX237" y="connsiteY237"/>
              </a:cxn>
              <a:cxn ang="0">
                <a:pos x="connsiteX238" y="connsiteY238"/>
              </a:cxn>
              <a:cxn ang="0">
                <a:pos x="connsiteX239" y="connsiteY239"/>
              </a:cxn>
              <a:cxn ang="0">
                <a:pos x="connsiteX240" y="connsiteY240"/>
              </a:cxn>
              <a:cxn ang="0">
                <a:pos x="connsiteX241" y="connsiteY241"/>
              </a:cxn>
              <a:cxn ang="0">
                <a:pos x="connsiteX242" y="connsiteY242"/>
              </a:cxn>
              <a:cxn ang="0">
                <a:pos x="connsiteX243" y="connsiteY243"/>
              </a:cxn>
              <a:cxn ang="0">
                <a:pos x="connsiteX244" y="connsiteY244"/>
              </a:cxn>
              <a:cxn ang="0">
                <a:pos x="connsiteX245" y="connsiteY245"/>
              </a:cxn>
              <a:cxn ang="0">
                <a:pos x="connsiteX246" y="connsiteY246"/>
              </a:cxn>
              <a:cxn ang="0">
                <a:pos x="connsiteX247" y="connsiteY247"/>
              </a:cxn>
              <a:cxn ang="0">
                <a:pos x="connsiteX248" y="connsiteY248"/>
              </a:cxn>
              <a:cxn ang="0">
                <a:pos x="connsiteX249" y="connsiteY249"/>
              </a:cxn>
              <a:cxn ang="0">
                <a:pos x="connsiteX250" y="connsiteY250"/>
              </a:cxn>
              <a:cxn ang="0">
                <a:pos x="connsiteX251" y="connsiteY251"/>
              </a:cxn>
              <a:cxn ang="0">
                <a:pos x="connsiteX252" y="connsiteY252"/>
              </a:cxn>
              <a:cxn ang="0">
                <a:pos x="connsiteX253" y="connsiteY253"/>
              </a:cxn>
              <a:cxn ang="0">
                <a:pos x="connsiteX254" y="connsiteY254"/>
              </a:cxn>
              <a:cxn ang="0">
                <a:pos x="connsiteX255" y="connsiteY255"/>
              </a:cxn>
              <a:cxn ang="0">
                <a:pos x="connsiteX256" y="connsiteY256"/>
              </a:cxn>
              <a:cxn ang="0">
                <a:pos x="connsiteX257" y="connsiteY257"/>
              </a:cxn>
              <a:cxn ang="0">
                <a:pos x="connsiteX258" y="connsiteY258"/>
              </a:cxn>
              <a:cxn ang="0">
                <a:pos x="connsiteX259" y="connsiteY259"/>
              </a:cxn>
              <a:cxn ang="0">
                <a:pos x="connsiteX260" y="connsiteY260"/>
              </a:cxn>
              <a:cxn ang="0">
                <a:pos x="connsiteX261" y="connsiteY261"/>
              </a:cxn>
              <a:cxn ang="0">
                <a:pos x="connsiteX262" y="connsiteY262"/>
              </a:cxn>
              <a:cxn ang="0">
                <a:pos x="connsiteX263" y="connsiteY263"/>
              </a:cxn>
              <a:cxn ang="0">
                <a:pos x="connsiteX264" y="connsiteY264"/>
              </a:cxn>
              <a:cxn ang="0">
                <a:pos x="connsiteX265" y="connsiteY265"/>
              </a:cxn>
              <a:cxn ang="0">
                <a:pos x="connsiteX266" y="connsiteY266"/>
              </a:cxn>
              <a:cxn ang="0">
                <a:pos x="connsiteX267" y="connsiteY267"/>
              </a:cxn>
              <a:cxn ang="0">
                <a:pos x="connsiteX268" y="connsiteY268"/>
              </a:cxn>
              <a:cxn ang="0">
                <a:pos x="connsiteX269" y="connsiteY269"/>
              </a:cxn>
              <a:cxn ang="0">
                <a:pos x="connsiteX270" y="connsiteY270"/>
              </a:cxn>
              <a:cxn ang="0">
                <a:pos x="connsiteX271" y="connsiteY271"/>
              </a:cxn>
              <a:cxn ang="0">
                <a:pos x="connsiteX272" y="connsiteY272"/>
              </a:cxn>
              <a:cxn ang="0">
                <a:pos x="connsiteX273" y="connsiteY273"/>
              </a:cxn>
              <a:cxn ang="0">
                <a:pos x="connsiteX274" y="connsiteY274"/>
              </a:cxn>
              <a:cxn ang="0">
                <a:pos x="connsiteX275" y="connsiteY275"/>
              </a:cxn>
              <a:cxn ang="0">
                <a:pos x="connsiteX276" y="connsiteY276"/>
              </a:cxn>
              <a:cxn ang="0">
                <a:pos x="connsiteX277" y="connsiteY277"/>
              </a:cxn>
              <a:cxn ang="0">
                <a:pos x="connsiteX278" y="connsiteY278"/>
              </a:cxn>
              <a:cxn ang="0">
                <a:pos x="connsiteX279" y="connsiteY279"/>
              </a:cxn>
              <a:cxn ang="0">
                <a:pos x="connsiteX280" y="connsiteY280"/>
              </a:cxn>
              <a:cxn ang="0">
                <a:pos x="connsiteX281" y="connsiteY281"/>
              </a:cxn>
              <a:cxn ang="0">
                <a:pos x="connsiteX282" y="connsiteY282"/>
              </a:cxn>
              <a:cxn ang="0">
                <a:pos x="connsiteX283" y="connsiteY283"/>
              </a:cxn>
              <a:cxn ang="0">
                <a:pos x="connsiteX284" y="connsiteY284"/>
              </a:cxn>
              <a:cxn ang="0">
                <a:pos x="connsiteX285" y="connsiteY285"/>
              </a:cxn>
              <a:cxn ang="0">
                <a:pos x="connsiteX286" y="connsiteY286"/>
              </a:cxn>
              <a:cxn ang="0">
                <a:pos x="connsiteX287" y="connsiteY287"/>
              </a:cxn>
              <a:cxn ang="0">
                <a:pos x="connsiteX288" y="connsiteY288"/>
              </a:cxn>
              <a:cxn ang="0">
                <a:pos x="connsiteX289" y="connsiteY289"/>
              </a:cxn>
              <a:cxn ang="0">
                <a:pos x="connsiteX290" y="connsiteY290"/>
              </a:cxn>
              <a:cxn ang="0">
                <a:pos x="connsiteX291" y="connsiteY291"/>
              </a:cxn>
              <a:cxn ang="0">
                <a:pos x="connsiteX292" y="connsiteY292"/>
              </a:cxn>
              <a:cxn ang="0">
                <a:pos x="connsiteX293" y="connsiteY293"/>
              </a:cxn>
              <a:cxn ang="0">
                <a:pos x="connsiteX294" y="connsiteY294"/>
              </a:cxn>
              <a:cxn ang="0">
                <a:pos x="connsiteX295" y="connsiteY295"/>
              </a:cxn>
              <a:cxn ang="0">
                <a:pos x="connsiteX296" y="connsiteY296"/>
              </a:cxn>
              <a:cxn ang="0">
                <a:pos x="connsiteX297" y="connsiteY297"/>
              </a:cxn>
              <a:cxn ang="0">
                <a:pos x="connsiteX298" y="connsiteY298"/>
              </a:cxn>
              <a:cxn ang="0">
                <a:pos x="connsiteX299" y="connsiteY299"/>
              </a:cxn>
              <a:cxn ang="0">
                <a:pos x="connsiteX300" y="connsiteY300"/>
              </a:cxn>
              <a:cxn ang="0">
                <a:pos x="connsiteX301" y="connsiteY301"/>
              </a:cxn>
              <a:cxn ang="0">
                <a:pos x="connsiteX302" y="connsiteY302"/>
              </a:cxn>
              <a:cxn ang="0">
                <a:pos x="connsiteX303" y="connsiteY303"/>
              </a:cxn>
              <a:cxn ang="0">
                <a:pos x="connsiteX304" y="connsiteY304"/>
              </a:cxn>
              <a:cxn ang="0">
                <a:pos x="connsiteX305" y="connsiteY305"/>
              </a:cxn>
              <a:cxn ang="0">
                <a:pos x="connsiteX306" y="connsiteY306"/>
              </a:cxn>
              <a:cxn ang="0">
                <a:pos x="connsiteX307" y="connsiteY307"/>
              </a:cxn>
              <a:cxn ang="0">
                <a:pos x="connsiteX308" y="connsiteY308"/>
              </a:cxn>
              <a:cxn ang="0">
                <a:pos x="connsiteX309" y="connsiteY309"/>
              </a:cxn>
              <a:cxn ang="0">
                <a:pos x="connsiteX310" y="connsiteY310"/>
              </a:cxn>
              <a:cxn ang="0">
                <a:pos x="connsiteX311" y="connsiteY311"/>
              </a:cxn>
              <a:cxn ang="0">
                <a:pos x="connsiteX312" y="connsiteY312"/>
              </a:cxn>
              <a:cxn ang="0">
                <a:pos x="connsiteX313" y="connsiteY313"/>
              </a:cxn>
              <a:cxn ang="0">
                <a:pos x="connsiteX314" y="connsiteY314"/>
              </a:cxn>
              <a:cxn ang="0">
                <a:pos x="connsiteX315" y="connsiteY315"/>
              </a:cxn>
              <a:cxn ang="0">
                <a:pos x="connsiteX316" y="connsiteY316"/>
              </a:cxn>
              <a:cxn ang="0">
                <a:pos x="connsiteX317" y="connsiteY317"/>
              </a:cxn>
              <a:cxn ang="0">
                <a:pos x="connsiteX318" y="connsiteY318"/>
              </a:cxn>
              <a:cxn ang="0">
                <a:pos x="connsiteX319" y="connsiteY319"/>
              </a:cxn>
              <a:cxn ang="0">
                <a:pos x="connsiteX320" y="connsiteY320"/>
              </a:cxn>
              <a:cxn ang="0">
                <a:pos x="connsiteX321" y="connsiteY321"/>
              </a:cxn>
              <a:cxn ang="0">
                <a:pos x="connsiteX322" y="connsiteY322"/>
              </a:cxn>
              <a:cxn ang="0">
                <a:pos x="connsiteX323" y="connsiteY323"/>
              </a:cxn>
              <a:cxn ang="0">
                <a:pos x="connsiteX324" y="connsiteY324"/>
              </a:cxn>
              <a:cxn ang="0">
                <a:pos x="connsiteX325" y="connsiteY325"/>
              </a:cxn>
              <a:cxn ang="0">
                <a:pos x="connsiteX326" y="connsiteY326"/>
              </a:cxn>
              <a:cxn ang="0">
                <a:pos x="connsiteX327" y="connsiteY327"/>
              </a:cxn>
              <a:cxn ang="0">
                <a:pos x="connsiteX328" y="connsiteY328"/>
              </a:cxn>
              <a:cxn ang="0">
                <a:pos x="connsiteX329" y="connsiteY329"/>
              </a:cxn>
              <a:cxn ang="0">
                <a:pos x="connsiteX330" y="connsiteY330"/>
              </a:cxn>
              <a:cxn ang="0">
                <a:pos x="connsiteX331" y="connsiteY331"/>
              </a:cxn>
              <a:cxn ang="0">
                <a:pos x="connsiteX332" y="connsiteY332"/>
              </a:cxn>
              <a:cxn ang="0">
                <a:pos x="connsiteX333" y="connsiteY333"/>
              </a:cxn>
              <a:cxn ang="0">
                <a:pos x="connsiteX334" y="connsiteY334"/>
              </a:cxn>
              <a:cxn ang="0">
                <a:pos x="connsiteX335" y="connsiteY335"/>
              </a:cxn>
              <a:cxn ang="0">
                <a:pos x="connsiteX336" y="connsiteY336"/>
              </a:cxn>
              <a:cxn ang="0">
                <a:pos x="connsiteX337" y="connsiteY337"/>
              </a:cxn>
              <a:cxn ang="0">
                <a:pos x="connsiteX338" y="connsiteY338"/>
              </a:cxn>
              <a:cxn ang="0">
                <a:pos x="connsiteX339" y="connsiteY339"/>
              </a:cxn>
              <a:cxn ang="0">
                <a:pos x="connsiteX340" y="connsiteY340"/>
              </a:cxn>
              <a:cxn ang="0">
                <a:pos x="connsiteX341" y="connsiteY341"/>
              </a:cxn>
              <a:cxn ang="0">
                <a:pos x="connsiteX342" y="connsiteY342"/>
              </a:cxn>
              <a:cxn ang="0">
                <a:pos x="connsiteX343" y="connsiteY343"/>
              </a:cxn>
              <a:cxn ang="0">
                <a:pos x="connsiteX344" y="connsiteY344"/>
              </a:cxn>
              <a:cxn ang="0">
                <a:pos x="connsiteX345" y="connsiteY345"/>
              </a:cxn>
              <a:cxn ang="0">
                <a:pos x="connsiteX346" y="connsiteY346"/>
              </a:cxn>
              <a:cxn ang="0">
                <a:pos x="connsiteX347" y="connsiteY347"/>
              </a:cxn>
              <a:cxn ang="0">
                <a:pos x="connsiteX348" y="connsiteY348"/>
              </a:cxn>
              <a:cxn ang="0">
                <a:pos x="connsiteX349" y="connsiteY349"/>
              </a:cxn>
              <a:cxn ang="0">
                <a:pos x="connsiteX350" y="connsiteY350"/>
              </a:cxn>
              <a:cxn ang="0">
                <a:pos x="connsiteX351" y="connsiteY351"/>
              </a:cxn>
              <a:cxn ang="0">
                <a:pos x="connsiteX352" y="connsiteY352"/>
              </a:cxn>
              <a:cxn ang="0">
                <a:pos x="connsiteX353" y="connsiteY353"/>
              </a:cxn>
              <a:cxn ang="0">
                <a:pos x="connsiteX354" y="connsiteY354"/>
              </a:cxn>
              <a:cxn ang="0">
                <a:pos x="connsiteX355" y="connsiteY355"/>
              </a:cxn>
              <a:cxn ang="0">
                <a:pos x="connsiteX356" y="connsiteY356"/>
              </a:cxn>
              <a:cxn ang="0">
                <a:pos x="connsiteX357" y="connsiteY357"/>
              </a:cxn>
              <a:cxn ang="0">
                <a:pos x="connsiteX358" y="connsiteY358"/>
              </a:cxn>
              <a:cxn ang="0">
                <a:pos x="connsiteX359" y="connsiteY359"/>
              </a:cxn>
              <a:cxn ang="0">
                <a:pos x="connsiteX360" y="connsiteY360"/>
              </a:cxn>
              <a:cxn ang="0">
                <a:pos x="connsiteX361" y="connsiteY361"/>
              </a:cxn>
              <a:cxn ang="0">
                <a:pos x="connsiteX362" y="connsiteY362"/>
              </a:cxn>
              <a:cxn ang="0">
                <a:pos x="connsiteX363" y="connsiteY363"/>
              </a:cxn>
              <a:cxn ang="0">
                <a:pos x="connsiteX364" y="connsiteY364"/>
              </a:cxn>
              <a:cxn ang="0">
                <a:pos x="connsiteX365" y="connsiteY365"/>
              </a:cxn>
              <a:cxn ang="0">
                <a:pos x="connsiteX366" y="connsiteY366"/>
              </a:cxn>
              <a:cxn ang="0">
                <a:pos x="connsiteX367" y="connsiteY367"/>
              </a:cxn>
              <a:cxn ang="0">
                <a:pos x="connsiteX368" y="connsiteY368"/>
              </a:cxn>
              <a:cxn ang="0">
                <a:pos x="connsiteX369" y="connsiteY369"/>
              </a:cxn>
              <a:cxn ang="0">
                <a:pos x="connsiteX370" y="connsiteY370"/>
              </a:cxn>
              <a:cxn ang="0">
                <a:pos x="connsiteX371" y="connsiteY371"/>
              </a:cxn>
              <a:cxn ang="0">
                <a:pos x="connsiteX372" y="connsiteY372"/>
              </a:cxn>
              <a:cxn ang="0">
                <a:pos x="connsiteX373" y="connsiteY373"/>
              </a:cxn>
              <a:cxn ang="0">
                <a:pos x="connsiteX374" y="connsiteY374"/>
              </a:cxn>
              <a:cxn ang="0">
                <a:pos x="connsiteX375" y="connsiteY375"/>
              </a:cxn>
              <a:cxn ang="0">
                <a:pos x="connsiteX376" y="connsiteY376"/>
              </a:cxn>
              <a:cxn ang="0">
                <a:pos x="connsiteX377" y="connsiteY377"/>
              </a:cxn>
              <a:cxn ang="0">
                <a:pos x="connsiteX378" y="connsiteY378"/>
              </a:cxn>
              <a:cxn ang="0">
                <a:pos x="connsiteX379" y="connsiteY379"/>
              </a:cxn>
              <a:cxn ang="0">
                <a:pos x="connsiteX380" y="connsiteY380"/>
              </a:cxn>
              <a:cxn ang="0">
                <a:pos x="connsiteX381" y="connsiteY381"/>
              </a:cxn>
              <a:cxn ang="0">
                <a:pos x="connsiteX382" y="connsiteY382"/>
              </a:cxn>
              <a:cxn ang="0">
                <a:pos x="connsiteX383" y="connsiteY383"/>
              </a:cxn>
              <a:cxn ang="0">
                <a:pos x="connsiteX384" y="connsiteY384"/>
              </a:cxn>
              <a:cxn ang="0">
                <a:pos x="connsiteX385" y="connsiteY385"/>
              </a:cxn>
              <a:cxn ang="0">
                <a:pos x="connsiteX386" y="connsiteY386"/>
              </a:cxn>
              <a:cxn ang="0">
                <a:pos x="connsiteX387" y="connsiteY387"/>
              </a:cxn>
              <a:cxn ang="0">
                <a:pos x="connsiteX388" y="connsiteY388"/>
              </a:cxn>
              <a:cxn ang="0">
                <a:pos x="connsiteX389" y="connsiteY389"/>
              </a:cxn>
              <a:cxn ang="0">
                <a:pos x="connsiteX390" y="connsiteY390"/>
              </a:cxn>
              <a:cxn ang="0">
                <a:pos x="connsiteX391" y="connsiteY391"/>
              </a:cxn>
              <a:cxn ang="0">
                <a:pos x="connsiteX392" y="connsiteY392"/>
              </a:cxn>
              <a:cxn ang="0">
                <a:pos x="connsiteX393" y="connsiteY393"/>
              </a:cxn>
              <a:cxn ang="0">
                <a:pos x="connsiteX394" y="connsiteY394"/>
              </a:cxn>
              <a:cxn ang="0">
                <a:pos x="connsiteX395" y="connsiteY395"/>
              </a:cxn>
              <a:cxn ang="0">
                <a:pos x="connsiteX396" y="connsiteY396"/>
              </a:cxn>
              <a:cxn ang="0">
                <a:pos x="connsiteX397" y="connsiteY397"/>
              </a:cxn>
              <a:cxn ang="0">
                <a:pos x="connsiteX398" y="connsiteY398"/>
              </a:cxn>
              <a:cxn ang="0">
                <a:pos x="connsiteX399" y="connsiteY399"/>
              </a:cxn>
              <a:cxn ang="0">
                <a:pos x="connsiteX400" y="connsiteY400"/>
              </a:cxn>
              <a:cxn ang="0">
                <a:pos x="connsiteX401" y="connsiteY401"/>
              </a:cxn>
              <a:cxn ang="0">
                <a:pos x="connsiteX402" y="connsiteY402"/>
              </a:cxn>
              <a:cxn ang="0">
                <a:pos x="connsiteX403" y="connsiteY403"/>
              </a:cxn>
              <a:cxn ang="0">
                <a:pos x="connsiteX404" y="connsiteY404"/>
              </a:cxn>
              <a:cxn ang="0">
                <a:pos x="connsiteX405" y="connsiteY405"/>
              </a:cxn>
              <a:cxn ang="0">
                <a:pos x="connsiteX406" y="connsiteY406"/>
              </a:cxn>
              <a:cxn ang="0">
                <a:pos x="connsiteX407" y="connsiteY407"/>
              </a:cxn>
              <a:cxn ang="0">
                <a:pos x="connsiteX408" y="connsiteY408"/>
              </a:cxn>
              <a:cxn ang="0">
                <a:pos x="connsiteX409" y="connsiteY409"/>
              </a:cxn>
              <a:cxn ang="0">
                <a:pos x="connsiteX410" y="connsiteY410"/>
              </a:cxn>
              <a:cxn ang="0">
                <a:pos x="connsiteX411" y="connsiteY411"/>
              </a:cxn>
              <a:cxn ang="0">
                <a:pos x="connsiteX412" y="connsiteY412"/>
              </a:cxn>
              <a:cxn ang="0">
                <a:pos x="connsiteX413" y="connsiteY413"/>
              </a:cxn>
              <a:cxn ang="0">
                <a:pos x="connsiteX414" y="connsiteY414"/>
              </a:cxn>
            </a:cxnLst>
            <a:rect l="l" t="t" r="r" b="b"/>
            <a:pathLst>
              <a:path w="676030" h="297169">
                <a:moveTo>
                  <a:pt x="265723" y="117231"/>
                </a:moveTo>
                <a:cubicBezTo>
                  <a:pt x="261929" y="118749"/>
                  <a:pt x="241347" y="127424"/>
                  <a:pt x="234461" y="128954"/>
                </a:cubicBezTo>
                <a:cubicBezTo>
                  <a:pt x="226727" y="130673"/>
                  <a:pt x="218784" y="131307"/>
                  <a:pt x="211015" y="132861"/>
                </a:cubicBezTo>
                <a:cubicBezTo>
                  <a:pt x="205749" y="133914"/>
                  <a:pt x="200528" y="135226"/>
                  <a:pt x="195384" y="136769"/>
                </a:cubicBezTo>
                <a:cubicBezTo>
                  <a:pt x="187493" y="139136"/>
                  <a:pt x="171938" y="144584"/>
                  <a:pt x="171938" y="144584"/>
                </a:cubicBezTo>
                <a:cubicBezTo>
                  <a:pt x="193254" y="116165"/>
                  <a:pt x="172766" y="140441"/>
                  <a:pt x="199292" y="117231"/>
                </a:cubicBezTo>
                <a:cubicBezTo>
                  <a:pt x="204837" y="112379"/>
                  <a:pt x="209107" y="106124"/>
                  <a:pt x="214923" y="101600"/>
                </a:cubicBezTo>
                <a:cubicBezTo>
                  <a:pt x="220918" y="96937"/>
                  <a:pt x="227822" y="93566"/>
                  <a:pt x="234461" y="89877"/>
                </a:cubicBezTo>
                <a:cubicBezTo>
                  <a:pt x="239553" y="87048"/>
                  <a:pt x="244738" y="84356"/>
                  <a:pt x="250092" y="82061"/>
                </a:cubicBezTo>
                <a:cubicBezTo>
                  <a:pt x="257935" y="78700"/>
                  <a:pt x="269522" y="76227"/>
                  <a:pt x="277446" y="74246"/>
                </a:cubicBezTo>
                <a:cubicBezTo>
                  <a:pt x="273538" y="82061"/>
                  <a:pt x="271902" y="91513"/>
                  <a:pt x="265723" y="97692"/>
                </a:cubicBezTo>
                <a:cubicBezTo>
                  <a:pt x="261925" y="101490"/>
                  <a:pt x="255187" y="99902"/>
                  <a:pt x="250092" y="101600"/>
                </a:cubicBezTo>
                <a:cubicBezTo>
                  <a:pt x="243438" y="103818"/>
                  <a:pt x="237208" y="107197"/>
                  <a:pt x="230554" y="109415"/>
                </a:cubicBezTo>
                <a:cubicBezTo>
                  <a:pt x="209987" y="116271"/>
                  <a:pt x="190250" y="115379"/>
                  <a:pt x="168030" y="117231"/>
                </a:cubicBezTo>
                <a:cubicBezTo>
                  <a:pt x="164122" y="119836"/>
                  <a:pt x="156307" y="120350"/>
                  <a:pt x="156307" y="125046"/>
                </a:cubicBezTo>
                <a:cubicBezTo>
                  <a:pt x="156307" y="129165"/>
                  <a:pt x="163967" y="129631"/>
                  <a:pt x="168030" y="128954"/>
                </a:cubicBezTo>
                <a:cubicBezTo>
                  <a:pt x="172663" y="128182"/>
                  <a:pt x="176188" y="124195"/>
                  <a:pt x="179754" y="121138"/>
                </a:cubicBezTo>
                <a:cubicBezTo>
                  <a:pt x="206638" y="98095"/>
                  <a:pt x="183567" y="111826"/>
                  <a:pt x="214923" y="89877"/>
                </a:cubicBezTo>
                <a:cubicBezTo>
                  <a:pt x="221145" y="85522"/>
                  <a:pt x="228385" y="82711"/>
                  <a:pt x="234461" y="78154"/>
                </a:cubicBezTo>
                <a:cubicBezTo>
                  <a:pt x="238882" y="74838"/>
                  <a:pt x="241353" y="69115"/>
                  <a:pt x="246184" y="66431"/>
                </a:cubicBezTo>
                <a:cubicBezTo>
                  <a:pt x="253385" y="62430"/>
                  <a:pt x="269630" y="58615"/>
                  <a:pt x="269630" y="58615"/>
                </a:cubicBezTo>
                <a:cubicBezTo>
                  <a:pt x="270933" y="62523"/>
                  <a:pt x="274841" y="66430"/>
                  <a:pt x="273538" y="70338"/>
                </a:cubicBezTo>
                <a:cubicBezTo>
                  <a:pt x="269869" y="81345"/>
                  <a:pt x="255658" y="85108"/>
                  <a:pt x="246184" y="85969"/>
                </a:cubicBezTo>
                <a:cubicBezTo>
                  <a:pt x="222798" y="88095"/>
                  <a:pt x="199292" y="88574"/>
                  <a:pt x="175846" y="89877"/>
                </a:cubicBezTo>
                <a:cubicBezTo>
                  <a:pt x="163898" y="93859"/>
                  <a:pt x="164110" y="91847"/>
                  <a:pt x="156307" y="101600"/>
                </a:cubicBezTo>
                <a:cubicBezTo>
                  <a:pt x="153373" y="105267"/>
                  <a:pt x="145171" y="116644"/>
                  <a:pt x="148492" y="113323"/>
                </a:cubicBezTo>
                <a:cubicBezTo>
                  <a:pt x="161222" y="100593"/>
                  <a:pt x="164854" y="88584"/>
                  <a:pt x="179754" y="78154"/>
                </a:cubicBezTo>
                <a:cubicBezTo>
                  <a:pt x="186912" y="73143"/>
                  <a:pt x="195828" y="71122"/>
                  <a:pt x="203200" y="66431"/>
                </a:cubicBezTo>
                <a:cubicBezTo>
                  <a:pt x="210236" y="61953"/>
                  <a:pt x="215416" y="54794"/>
                  <a:pt x="222738" y="50800"/>
                </a:cubicBezTo>
                <a:cubicBezTo>
                  <a:pt x="229970" y="46855"/>
                  <a:pt x="238535" y="46044"/>
                  <a:pt x="246184" y="42984"/>
                </a:cubicBezTo>
                <a:cubicBezTo>
                  <a:pt x="251593" y="40821"/>
                  <a:pt x="256605" y="37774"/>
                  <a:pt x="261815" y="35169"/>
                </a:cubicBezTo>
                <a:cubicBezTo>
                  <a:pt x="272981" y="37030"/>
                  <a:pt x="302057" y="34199"/>
                  <a:pt x="277446" y="54708"/>
                </a:cubicBezTo>
                <a:cubicBezTo>
                  <a:pt x="273320" y="58146"/>
                  <a:pt x="267174" y="58269"/>
                  <a:pt x="261815" y="58615"/>
                </a:cubicBezTo>
                <a:cubicBezTo>
                  <a:pt x="226695" y="60881"/>
                  <a:pt x="191476" y="61220"/>
                  <a:pt x="156307" y="62523"/>
                </a:cubicBezTo>
                <a:cubicBezTo>
                  <a:pt x="151097" y="65128"/>
                  <a:pt x="145417" y="66952"/>
                  <a:pt x="140677" y="70338"/>
                </a:cubicBezTo>
                <a:cubicBezTo>
                  <a:pt x="127103" y="80034"/>
                  <a:pt x="115480" y="92347"/>
                  <a:pt x="101600" y="101600"/>
                </a:cubicBezTo>
                <a:lnTo>
                  <a:pt x="89877" y="109415"/>
                </a:lnTo>
                <a:cubicBezTo>
                  <a:pt x="87909" y="112366"/>
                  <a:pt x="67410" y="135140"/>
                  <a:pt x="97692" y="125046"/>
                </a:cubicBezTo>
                <a:cubicBezTo>
                  <a:pt x="102147" y="123561"/>
                  <a:pt x="102365" y="116814"/>
                  <a:pt x="105507" y="113323"/>
                </a:cubicBezTo>
                <a:cubicBezTo>
                  <a:pt x="114133" y="103738"/>
                  <a:pt x="123743" y="95087"/>
                  <a:pt x="132861" y="85969"/>
                </a:cubicBezTo>
                <a:cubicBezTo>
                  <a:pt x="136769" y="82061"/>
                  <a:pt x="139986" y="77311"/>
                  <a:pt x="144584" y="74246"/>
                </a:cubicBezTo>
                <a:cubicBezTo>
                  <a:pt x="148492" y="71641"/>
                  <a:pt x="151852" y="67916"/>
                  <a:pt x="156307" y="66431"/>
                </a:cubicBezTo>
                <a:cubicBezTo>
                  <a:pt x="166696" y="62968"/>
                  <a:pt x="214775" y="59021"/>
                  <a:pt x="218830" y="58615"/>
                </a:cubicBezTo>
                <a:cubicBezTo>
                  <a:pt x="256605" y="59918"/>
                  <a:pt x="294588" y="58349"/>
                  <a:pt x="332154" y="62523"/>
                </a:cubicBezTo>
                <a:cubicBezTo>
                  <a:pt x="335816" y="62930"/>
                  <a:pt x="327497" y="68443"/>
                  <a:pt x="324338" y="70338"/>
                </a:cubicBezTo>
                <a:cubicBezTo>
                  <a:pt x="320806" y="72457"/>
                  <a:pt x="316718" y="73884"/>
                  <a:pt x="312615" y="74246"/>
                </a:cubicBezTo>
                <a:cubicBezTo>
                  <a:pt x="272308" y="77802"/>
                  <a:pt x="231856" y="79456"/>
                  <a:pt x="191477" y="82061"/>
                </a:cubicBezTo>
                <a:cubicBezTo>
                  <a:pt x="177527" y="87641"/>
                  <a:pt x="169080" y="90393"/>
                  <a:pt x="156307" y="97692"/>
                </a:cubicBezTo>
                <a:cubicBezTo>
                  <a:pt x="152229" y="100022"/>
                  <a:pt x="148492" y="102903"/>
                  <a:pt x="144584" y="105508"/>
                </a:cubicBezTo>
                <a:cubicBezTo>
                  <a:pt x="143282" y="109416"/>
                  <a:pt x="137764" y="114319"/>
                  <a:pt x="140677" y="117231"/>
                </a:cubicBezTo>
                <a:cubicBezTo>
                  <a:pt x="143283" y="119836"/>
                  <a:pt x="145615" y="111717"/>
                  <a:pt x="148492" y="109415"/>
                </a:cubicBezTo>
                <a:cubicBezTo>
                  <a:pt x="168881" y="93104"/>
                  <a:pt x="180086" y="83491"/>
                  <a:pt x="203200" y="74246"/>
                </a:cubicBezTo>
                <a:cubicBezTo>
                  <a:pt x="235039" y="61510"/>
                  <a:pt x="253307" y="58294"/>
                  <a:pt x="289169" y="54708"/>
                </a:cubicBezTo>
                <a:cubicBezTo>
                  <a:pt x="324260" y="51199"/>
                  <a:pt x="394677" y="46892"/>
                  <a:pt x="394677" y="46892"/>
                </a:cubicBezTo>
                <a:cubicBezTo>
                  <a:pt x="419426" y="48195"/>
                  <a:pt x="444578" y="46163"/>
                  <a:pt x="468923" y="50800"/>
                </a:cubicBezTo>
                <a:cubicBezTo>
                  <a:pt x="473536" y="51679"/>
                  <a:pt x="475966" y="57891"/>
                  <a:pt x="476738" y="62523"/>
                </a:cubicBezTo>
                <a:cubicBezTo>
                  <a:pt x="477415" y="66586"/>
                  <a:pt x="474133" y="70338"/>
                  <a:pt x="472830" y="74246"/>
                </a:cubicBezTo>
                <a:cubicBezTo>
                  <a:pt x="412836" y="71389"/>
                  <a:pt x="372283" y="66788"/>
                  <a:pt x="312615" y="74246"/>
                </a:cubicBezTo>
                <a:cubicBezTo>
                  <a:pt x="306835" y="74969"/>
                  <a:pt x="302438" y="80016"/>
                  <a:pt x="296984" y="82061"/>
                </a:cubicBezTo>
                <a:cubicBezTo>
                  <a:pt x="291956" y="83947"/>
                  <a:pt x="286596" y="84804"/>
                  <a:pt x="281354" y="85969"/>
                </a:cubicBezTo>
                <a:cubicBezTo>
                  <a:pt x="274870" y="87410"/>
                  <a:pt x="255173" y="89877"/>
                  <a:pt x="261815" y="89877"/>
                </a:cubicBezTo>
                <a:cubicBezTo>
                  <a:pt x="264288" y="89877"/>
                  <a:pt x="300565" y="83331"/>
                  <a:pt x="304800" y="82061"/>
                </a:cubicBezTo>
                <a:cubicBezTo>
                  <a:pt x="311519" y="80045"/>
                  <a:pt x="317571" y="76092"/>
                  <a:pt x="324338" y="74246"/>
                </a:cubicBezTo>
                <a:cubicBezTo>
                  <a:pt x="333880" y="71644"/>
                  <a:pt x="372081" y="67301"/>
                  <a:pt x="379046" y="66431"/>
                </a:cubicBezTo>
                <a:cubicBezTo>
                  <a:pt x="423333" y="67733"/>
                  <a:pt x="467912" y="65101"/>
                  <a:pt x="511907" y="70338"/>
                </a:cubicBezTo>
                <a:cubicBezTo>
                  <a:pt x="523476" y="71715"/>
                  <a:pt x="532460" y="81380"/>
                  <a:pt x="543169" y="85969"/>
                </a:cubicBezTo>
                <a:cubicBezTo>
                  <a:pt x="550741" y="89214"/>
                  <a:pt x="558873" y="90969"/>
                  <a:pt x="566615" y="93784"/>
                </a:cubicBezTo>
                <a:cubicBezTo>
                  <a:pt x="573207" y="96181"/>
                  <a:pt x="579641" y="98995"/>
                  <a:pt x="586154" y="101600"/>
                </a:cubicBezTo>
                <a:cubicBezTo>
                  <a:pt x="590062" y="105508"/>
                  <a:pt x="603191" y="111805"/>
                  <a:pt x="597877" y="113323"/>
                </a:cubicBezTo>
                <a:cubicBezTo>
                  <a:pt x="565464" y="122583"/>
                  <a:pt x="567833" y="109282"/>
                  <a:pt x="547077" y="105508"/>
                </a:cubicBezTo>
                <a:cubicBezTo>
                  <a:pt x="536745" y="103629"/>
                  <a:pt x="526236" y="102903"/>
                  <a:pt x="515815" y="101600"/>
                </a:cubicBezTo>
                <a:cubicBezTo>
                  <a:pt x="470225" y="102903"/>
                  <a:pt x="424553" y="102474"/>
                  <a:pt x="379046" y="105508"/>
                </a:cubicBezTo>
                <a:cubicBezTo>
                  <a:pt x="365792" y="106392"/>
                  <a:pt x="353050" y="111015"/>
                  <a:pt x="339969" y="113323"/>
                </a:cubicBezTo>
                <a:cubicBezTo>
                  <a:pt x="257528" y="127871"/>
                  <a:pt x="356628" y="108430"/>
                  <a:pt x="293077" y="121138"/>
                </a:cubicBezTo>
                <a:cubicBezTo>
                  <a:pt x="290472" y="123743"/>
                  <a:pt x="281577" y="128954"/>
                  <a:pt x="285261" y="128954"/>
                </a:cubicBezTo>
                <a:cubicBezTo>
                  <a:pt x="326434" y="128954"/>
                  <a:pt x="305244" y="123181"/>
                  <a:pt x="328246" y="113323"/>
                </a:cubicBezTo>
                <a:cubicBezTo>
                  <a:pt x="343140" y="106940"/>
                  <a:pt x="385115" y="105979"/>
                  <a:pt x="390769" y="105508"/>
                </a:cubicBezTo>
                <a:lnTo>
                  <a:pt x="488461" y="117231"/>
                </a:lnTo>
                <a:cubicBezTo>
                  <a:pt x="549600" y="134698"/>
                  <a:pt x="484598" y="117241"/>
                  <a:pt x="539261" y="128954"/>
                </a:cubicBezTo>
                <a:cubicBezTo>
                  <a:pt x="549764" y="131205"/>
                  <a:pt x="570523" y="136769"/>
                  <a:pt x="570523" y="136769"/>
                </a:cubicBezTo>
                <a:cubicBezTo>
                  <a:pt x="555546" y="151745"/>
                  <a:pt x="562593" y="148766"/>
                  <a:pt x="527538" y="140677"/>
                </a:cubicBezTo>
                <a:cubicBezTo>
                  <a:pt x="521862" y="139367"/>
                  <a:pt x="517361" y="134906"/>
                  <a:pt x="511907" y="132861"/>
                </a:cubicBezTo>
                <a:cubicBezTo>
                  <a:pt x="506879" y="130975"/>
                  <a:pt x="501441" y="130429"/>
                  <a:pt x="496277" y="128954"/>
                </a:cubicBezTo>
                <a:cubicBezTo>
                  <a:pt x="484221" y="125509"/>
                  <a:pt x="478970" y="121719"/>
                  <a:pt x="465015" y="121138"/>
                </a:cubicBezTo>
                <a:cubicBezTo>
                  <a:pt x="409038" y="118806"/>
                  <a:pt x="352994" y="118533"/>
                  <a:pt x="296984" y="117231"/>
                </a:cubicBezTo>
                <a:cubicBezTo>
                  <a:pt x="302194" y="115928"/>
                  <a:pt x="307372" y="114488"/>
                  <a:pt x="312615" y="113323"/>
                </a:cubicBezTo>
                <a:cubicBezTo>
                  <a:pt x="319099" y="111882"/>
                  <a:pt x="325746" y="111163"/>
                  <a:pt x="332154" y="109415"/>
                </a:cubicBezTo>
                <a:cubicBezTo>
                  <a:pt x="352340" y="103910"/>
                  <a:pt x="361787" y="97753"/>
                  <a:pt x="382954" y="93784"/>
                </a:cubicBezTo>
                <a:cubicBezTo>
                  <a:pt x="394547" y="91610"/>
                  <a:pt x="406400" y="91179"/>
                  <a:pt x="418123" y="89877"/>
                </a:cubicBezTo>
                <a:cubicBezTo>
                  <a:pt x="459787" y="90973"/>
                  <a:pt x="533283" y="84473"/>
                  <a:pt x="586154" y="97692"/>
                </a:cubicBezTo>
                <a:cubicBezTo>
                  <a:pt x="590150" y="98691"/>
                  <a:pt x="593969" y="100297"/>
                  <a:pt x="597877" y="101600"/>
                </a:cubicBezTo>
                <a:cubicBezTo>
                  <a:pt x="590061" y="102903"/>
                  <a:pt x="582353" y="105508"/>
                  <a:pt x="574430" y="105508"/>
                </a:cubicBezTo>
                <a:cubicBezTo>
                  <a:pt x="485465" y="105508"/>
                  <a:pt x="493659" y="105692"/>
                  <a:pt x="437661" y="97692"/>
                </a:cubicBezTo>
                <a:cubicBezTo>
                  <a:pt x="416820" y="98995"/>
                  <a:pt x="395941" y="99791"/>
                  <a:pt x="375138" y="101600"/>
                </a:cubicBezTo>
                <a:cubicBezTo>
                  <a:pt x="365962" y="102398"/>
                  <a:pt x="356458" y="102410"/>
                  <a:pt x="347784" y="105508"/>
                </a:cubicBezTo>
                <a:cubicBezTo>
                  <a:pt x="337894" y="109040"/>
                  <a:pt x="329921" y="116642"/>
                  <a:pt x="320430" y="121138"/>
                </a:cubicBezTo>
                <a:cubicBezTo>
                  <a:pt x="305127" y="128387"/>
                  <a:pt x="273538" y="140677"/>
                  <a:pt x="273538" y="140677"/>
                </a:cubicBezTo>
                <a:cubicBezTo>
                  <a:pt x="291700" y="128568"/>
                  <a:pt x="296533" y="124183"/>
                  <a:pt x="324338" y="117231"/>
                </a:cubicBezTo>
                <a:cubicBezTo>
                  <a:pt x="334759" y="114626"/>
                  <a:pt x="344896" y="110307"/>
                  <a:pt x="355600" y="109415"/>
                </a:cubicBezTo>
                <a:lnTo>
                  <a:pt x="402492" y="105508"/>
                </a:lnTo>
                <a:cubicBezTo>
                  <a:pt x="485695" y="97584"/>
                  <a:pt x="377549" y="104463"/>
                  <a:pt x="519723" y="97692"/>
                </a:cubicBezTo>
                <a:cubicBezTo>
                  <a:pt x="536656" y="98995"/>
                  <a:pt x="553798" y="98649"/>
                  <a:pt x="570523" y="101600"/>
                </a:cubicBezTo>
                <a:cubicBezTo>
                  <a:pt x="576260" y="102612"/>
                  <a:pt x="582035" y="105296"/>
                  <a:pt x="586154" y="109415"/>
                </a:cubicBezTo>
                <a:cubicBezTo>
                  <a:pt x="590273" y="113534"/>
                  <a:pt x="599179" y="122441"/>
                  <a:pt x="593969" y="125046"/>
                </a:cubicBezTo>
                <a:cubicBezTo>
                  <a:pt x="588144" y="127959"/>
                  <a:pt x="584471" y="115513"/>
                  <a:pt x="578338" y="113323"/>
                </a:cubicBezTo>
                <a:cubicBezTo>
                  <a:pt x="565828" y="108855"/>
                  <a:pt x="552148" y="108730"/>
                  <a:pt x="539261" y="105508"/>
                </a:cubicBezTo>
                <a:cubicBezTo>
                  <a:pt x="517187" y="99989"/>
                  <a:pt x="528896" y="102653"/>
                  <a:pt x="504092" y="97692"/>
                </a:cubicBezTo>
                <a:cubicBezTo>
                  <a:pt x="425938" y="98995"/>
                  <a:pt x="347732" y="98476"/>
                  <a:pt x="269630" y="101600"/>
                </a:cubicBezTo>
                <a:cubicBezTo>
                  <a:pt x="249935" y="102388"/>
                  <a:pt x="230596" y="107156"/>
                  <a:pt x="211015" y="109415"/>
                </a:cubicBezTo>
                <a:cubicBezTo>
                  <a:pt x="196722" y="111064"/>
                  <a:pt x="182358" y="112020"/>
                  <a:pt x="168030" y="113323"/>
                </a:cubicBezTo>
                <a:cubicBezTo>
                  <a:pt x="165183" y="113892"/>
                  <a:pt x="137117" y="114717"/>
                  <a:pt x="140677" y="128954"/>
                </a:cubicBezTo>
                <a:cubicBezTo>
                  <a:pt x="141676" y="132950"/>
                  <a:pt x="148492" y="131559"/>
                  <a:pt x="152400" y="132861"/>
                </a:cubicBezTo>
                <a:cubicBezTo>
                  <a:pt x="158913" y="131559"/>
                  <a:pt x="165455" y="130395"/>
                  <a:pt x="171938" y="128954"/>
                </a:cubicBezTo>
                <a:cubicBezTo>
                  <a:pt x="177181" y="127789"/>
                  <a:pt x="182303" y="126099"/>
                  <a:pt x="187569" y="125046"/>
                </a:cubicBezTo>
                <a:cubicBezTo>
                  <a:pt x="195338" y="123492"/>
                  <a:pt x="203295" y="122920"/>
                  <a:pt x="211015" y="121138"/>
                </a:cubicBezTo>
                <a:cubicBezTo>
                  <a:pt x="220255" y="119006"/>
                  <a:pt x="229049" y="115071"/>
                  <a:pt x="238369" y="113323"/>
                </a:cubicBezTo>
                <a:cubicBezTo>
                  <a:pt x="256613" y="109902"/>
                  <a:pt x="316171" y="106370"/>
                  <a:pt x="328246" y="105508"/>
                </a:cubicBezTo>
                <a:cubicBezTo>
                  <a:pt x="402167" y="107150"/>
                  <a:pt x="457042" y="95413"/>
                  <a:pt x="519723" y="113323"/>
                </a:cubicBezTo>
                <a:cubicBezTo>
                  <a:pt x="523684" y="114455"/>
                  <a:pt x="527538" y="115928"/>
                  <a:pt x="531446" y="117231"/>
                </a:cubicBezTo>
                <a:cubicBezTo>
                  <a:pt x="528841" y="122441"/>
                  <a:pt x="527749" y="128742"/>
                  <a:pt x="523630" y="132861"/>
                </a:cubicBezTo>
                <a:cubicBezTo>
                  <a:pt x="520717" y="135774"/>
                  <a:pt x="516026" y="136769"/>
                  <a:pt x="511907" y="136769"/>
                </a:cubicBezTo>
                <a:cubicBezTo>
                  <a:pt x="488350" y="136769"/>
                  <a:pt x="454639" y="132053"/>
                  <a:pt x="429846" y="128954"/>
                </a:cubicBezTo>
                <a:cubicBezTo>
                  <a:pt x="418123" y="125046"/>
                  <a:pt x="406769" y="119777"/>
                  <a:pt x="394677" y="117231"/>
                </a:cubicBezTo>
                <a:cubicBezTo>
                  <a:pt x="350379" y="107905"/>
                  <a:pt x="245262" y="116667"/>
                  <a:pt x="226646" y="117231"/>
                </a:cubicBezTo>
                <a:cubicBezTo>
                  <a:pt x="211015" y="119836"/>
                  <a:pt x="195206" y="121534"/>
                  <a:pt x="179754" y="125046"/>
                </a:cubicBezTo>
                <a:cubicBezTo>
                  <a:pt x="166493" y="128060"/>
                  <a:pt x="153817" y="133265"/>
                  <a:pt x="140677" y="136769"/>
                </a:cubicBezTo>
                <a:cubicBezTo>
                  <a:pt x="134259" y="138480"/>
                  <a:pt x="127622" y="139236"/>
                  <a:pt x="121138" y="140677"/>
                </a:cubicBezTo>
                <a:cubicBezTo>
                  <a:pt x="115895" y="141842"/>
                  <a:pt x="110717" y="143282"/>
                  <a:pt x="105507" y="144584"/>
                </a:cubicBezTo>
                <a:cubicBezTo>
                  <a:pt x="101599" y="147189"/>
                  <a:pt x="89087" y="152400"/>
                  <a:pt x="93784" y="152400"/>
                </a:cubicBezTo>
                <a:cubicBezTo>
                  <a:pt x="107570" y="152400"/>
                  <a:pt x="118667" y="139290"/>
                  <a:pt x="128954" y="132861"/>
                </a:cubicBezTo>
                <a:cubicBezTo>
                  <a:pt x="133894" y="129774"/>
                  <a:pt x="139644" y="128133"/>
                  <a:pt x="144584" y="125046"/>
                </a:cubicBezTo>
                <a:cubicBezTo>
                  <a:pt x="150107" y="121594"/>
                  <a:pt x="154390" y="116236"/>
                  <a:pt x="160215" y="113323"/>
                </a:cubicBezTo>
                <a:cubicBezTo>
                  <a:pt x="165019" y="110921"/>
                  <a:pt x="170682" y="110890"/>
                  <a:pt x="175846" y="109415"/>
                </a:cubicBezTo>
                <a:cubicBezTo>
                  <a:pt x="179807" y="108283"/>
                  <a:pt x="183661" y="106810"/>
                  <a:pt x="187569" y="105508"/>
                </a:cubicBezTo>
                <a:cubicBezTo>
                  <a:pt x="191477" y="106810"/>
                  <a:pt x="203200" y="108112"/>
                  <a:pt x="199292" y="109415"/>
                </a:cubicBezTo>
                <a:cubicBezTo>
                  <a:pt x="184259" y="114426"/>
                  <a:pt x="152400" y="117231"/>
                  <a:pt x="152400" y="117231"/>
                </a:cubicBezTo>
                <a:cubicBezTo>
                  <a:pt x="145887" y="119836"/>
                  <a:pt x="139580" y="123030"/>
                  <a:pt x="132861" y="125046"/>
                </a:cubicBezTo>
                <a:cubicBezTo>
                  <a:pt x="126499" y="126954"/>
                  <a:pt x="119766" y="127343"/>
                  <a:pt x="113323" y="128954"/>
                </a:cubicBezTo>
                <a:cubicBezTo>
                  <a:pt x="109327" y="129953"/>
                  <a:pt x="105613" y="131935"/>
                  <a:pt x="101600" y="132861"/>
                </a:cubicBezTo>
                <a:cubicBezTo>
                  <a:pt x="88657" y="135848"/>
                  <a:pt x="75410" y="137456"/>
                  <a:pt x="62523" y="140677"/>
                </a:cubicBezTo>
                <a:lnTo>
                  <a:pt x="46892" y="144584"/>
                </a:lnTo>
                <a:cubicBezTo>
                  <a:pt x="52102" y="140676"/>
                  <a:pt x="57000" y="136313"/>
                  <a:pt x="62523" y="132861"/>
                </a:cubicBezTo>
                <a:cubicBezTo>
                  <a:pt x="67463" y="129774"/>
                  <a:pt x="73414" y="128432"/>
                  <a:pt x="78154" y="125046"/>
                </a:cubicBezTo>
                <a:cubicBezTo>
                  <a:pt x="82651" y="121834"/>
                  <a:pt x="85380" y="116535"/>
                  <a:pt x="89877" y="113323"/>
                </a:cubicBezTo>
                <a:cubicBezTo>
                  <a:pt x="94617" y="109937"/>
                  <a:pt x="100450" y="108398"/>
                  <a:pt x="105507" y="105508"/>
                </a:cubicBezTo>
                <a:cubicBezTo>
                  <a:pt x="120123" y="97155"/>
                  <a:pt x="118744" y="94162"/>
                  <a:pt x="136769" y="85969"/>
                </a:cubicBezTo>
                <a:cubicBezTo>
                  <a:pt x="161485" y="74735"/>
                  <a:pt x="166231" y="78619"/>
                  <a:pt x="195384" y="74246"/>
                </a:cubicBezTo>
                <a:cubicBezTo>
                  <a:pt x="283287" y="61061"/>
                  <a:pt x="193474" y="70513"/>
                  <a:pt x="281354" y="62523"/>
                </a:cubicBezTo>
                <a:cubicBezTo>
                  <a:pt x="293077" y="59918"/>
                  <a:pt x="304697" y="56795"/>
                  <a:pt x="316523" y="54708"/>
                </a:cubicBezTo>
                <a:cubicBezTo>
                  <a:pt x="337475" y="51010"/>
                  <a:pt x="375963" y="48452"/>
                  <a:pt x="394677" y="46892"/>
                </a:cubicBezTo>
                <a:cubicBezTo>
                  <a:pt x="543594" y="55653"/>
                  <a:pt x="455305" y="48765"/>
                  <a:pt x="238369" y="54708"/>
                </a:cubicBezTo>
                <a:cubicBezTo>
                  <a:pt x="217495" y="55280"/>
                  <a:pt x="196687" y="57313"/>
                  <a:pt x="175846" y="58615"/>
                </a:cubicBezTo>
                <a:cubicBezTo>
                  <a:pt x="171938" y="59918"/>
                  <a:pt x="167655" y="60404"/>
                  <a:pt x="164123" y="62523"/>
                </a:cubicBezTo>
                <a:cubicBezTo>
                  <a:pt x="160964" y="64418"/>
                  <a:pt x="152886" y="71706"/>
                  <a:pt x="156307" y="70338"/>
                </a:cubicBezTo>
                <a:cubicBezTo>
                  <a:pt x="174977" y="62870"/>
                  <a:pt x="189985" y="49065"/>
                  <a:pt x="207107" y="39077"/>
                </a:cubicBezTo>
                <a:cubicBezTo>
                  <a:pt x="214655" y="34674"/>
                  <a:pt x="222883" y="31538"/>
                  <a:pt x="230554" y="27354"/>
                </a:cubicBezTo>
                <a:cubicBezTo>
                  <a:pt x="237222" y="23717"/>
                  <a:pt x="243040" y="18452"/>
                  <a:pt x="250092" y="15631"/>
                </a:cubicBezTo>
                <a:cubicBezTo>
                  <a:pt x="256259" y="13164"/>
                  <a:pt x="263147" y="13164"/>
                  <a:pt x="269630" y="11723"/>
                </a:cubicBezTo>
                <a:cubicBezTo>
                  <a:pt x="274873" y="10558"/>
                  <a:pt x="279927" y="8442"/>
                  <a:pt x="285261" y="7815"/>
                </a:cubicBezTo>
                <a:cubicBezTo>
                  <a:pt x="302128" y="5831"/>
                  <a:pt x="319154" y="5518"/>
                  <a:pt x="336061" y="3908"/>
                </a:cubicBezTo>
                <a:cubicBezTo>
                  <a:pt x="346515" y="2912"/>
                  <a:pt x="356902" y="1303"/>
                  <a:pt x="367323" y="0"/>
                </a:cubicBezTo>
                <a:cubicBezTo>
                  <a:pt x="407702" y="2605"/>
                  <a:pt x="448435" y="1885"/>
                  <a:pt x="488461" y="7815"/>
                </a:cubicBezTo>
                <a:cubicBezTo>
                  <a:pt x="494224" y="8669"/>
                  <a:pt x="478651" y="15407"/>
                  <a:pt x="472830" y="15631"/>
                </a:cubicBezTo>
                <a:lnTo>
                  <a:pt x="386861" y="11723"/>
                </a:lnTo>
                <a:cubicBezTo>
                  <a:pt x="366020" y="13026"/>
                  <a:pt x="344781" y="11372"/>
                  <a:pt x="324338" y="15631"/>
                </a:cubicBezTo>
                <a:cubicBezTo>
                  <a:pt x="312933" y="18007"/>
                  <a:pt x="303806" y="26722"/>
                  <a:pt x="293077" y="31261"/>
                </a:cubicBezTo>
                <a:cubicBezTo>
                  <a:pt x="269908" y="41063"/>
                  <a:pt x="246604" y="50659"/>
                  <a:pt x="222738" y="58615"/>
                </a:cubicBezTo>
                <a:cubicBezTo>
                  <a:pt x="167020" y="77189"/>
                  <a:pt x="225001" y="58527"/>
                  <a:pt x="183661" y="70338"/>
                </a:cubicBezTo>
                <a:cubicBezTo>
                  <a:pt x="179700" y="71470"/>
                  <a:pt x="167819" y="74246"/>
                  <a:pt x="171938" y="74246"/>
                </a:cubicBezTo>
                <a:cubicBezTo>
                  <a:pt x="176895" y="74246"/>
                  <a:pt x="201081" y="67937"/>
                  <a:pt x="207107" y="66431"/>
                </a:cubicBezTo>
                <a:cubicBezTo>
                  <a:pt x="251387" y="33222"/>
                  <a:pt x="195457" y="73713"/>
                  <a:pt x="238369" y="46892"/>
                </a:cubicBezTo>
                <a:cubicBezTo>
                  <a:pt x="243892" y="43440"/>
                  <a:pt x="248175" y="38082"/>
                  <a:pt x="254000" y="35169"/>
                </a:cubicBezTo>
                <a:cubicBezTo>
                  <a:pt x="257684" y="33327"/>
                  <a:pt x="287108" y="27766"/>
                  <a:pt x="289169" y="27354"/>
                </a:cubicBezTo>
                <a:cubicBezTo>
                  <a:pt x="309541" y="27936"/>
                  <a:pt x="425909" y="28771"/>
                  <a:pt x="472830" y="35169"/>
                </a:cubicBezTo>
                <a:cubicBezTo>
                  <a:pt x="485992" y="36964"/>
                  <a:pt x="498804" y="40800"/>
                  <a:pt x="511907" y="42984"/>
                </a:cubicBezTo>
                <a:cubicBezTo>
                  <a:pt x="522266" y="44710"/>
                  <a:pt x="532789" y="45295"/>
                  <a:pt x="543169" y="46892"/>
                </a:cubicBezTo>
                <a:cubicBezTo>
                  <a:pt x="549733" y="47902"/>
                  <a:pt x="556264" y="49189"/>
                  <a:pt x="562707" y="50800"/>
                </a:cubicBezTo>
                <a:cubicBezTo>
                  <a:pt x="566703" y="51799"/>
                  <a:pt x="577342" y="57621"/>
                  <a:pt x="574430" y="54708"/>
                </a:cubicBezTo>
                <a:cubicBezTo>
                  <a:pt x="570312" y="50589"/>
                  <a:pt x="563892" y="49721"/>
                  <a:pt x="558800" y="46892"/>
                </a:cubicBezTo>
                <a:cubicBezTo>
                  <a:pt x="530414" y="31122"/>
                  <a:pt x="549465" y="37210"/>
                  <a:pt x="519723" y="31261"/>
                </a:cubicBezTo>
                <a:cubicBezTo>
                  <a:pt x="500184" y="32564"/>
                  <a:pt x="480197" y="30806"/>
                  <a:pt x="461107" y="35169"/>
                </a:cubicBezTo>
                <a:cubicBezTo>
                  <a:pt x="434200" y="41319"/>
                  <a:pt x="409582" y="55261"/>
                  <a:pt x="382954" y="62523"/>
                </a:cubicBezTo>
                <a:cubicBezTo>
                  <a:pt x="368626" y="66431"/>
                  <a:pt x="354451" y="70955"/>
                  <a:pt x="339969" y="74246"/>
                </a:cubicBezTo>
                <a:cubicBezTo>
                  <a:pt x="283350" y="87113"/>
                  <a:pt x="314292" y="77848"/>
                  <a:pt x="269630" y="85969"/>
                </a:cubicBezTo>
                <a:cubicBezTo>
                  <a:pt x="264346" y="86930"/>
                  <a:pt x="259210" y="88574"/>
                  <a:pt x="254000" y="89877"/>
                </a:cubicBezTo>
                <a:cubicBezTo>
                  <a:pt x="257908" y="92482"/>
                  <a:pt x="261063" y="98275"/>
                  <a:pt x="265723" y="97692"/>
                </a:cubicBezTo>
                <a:cubicBezTo>
                  <a:pt x="273259" y="96750"/>
                  <a:pt x="278820" y="89994"/>
                  <a:pt x="285261" y="85969"/>
                </a:cubicBezTo>
                <a:cubicBezTo>
                  <a:pt x="289244" y="83480"/>
                  <a:pt x="292906" y="80484"/>
                  <a:pt x="296984" y="78154"/>
                </a:cubicBezTo>
                <a:cubicBezTo>
                  <a:pt x="310508" y="70426"/>
                  <a:pt x="311183" y="70815"/>
                  <a:pt x="324338" y="66431"/>
                </a:cubicBezTo>
                <a:lnTo>
                  <a:pt x="484554" y="70338"/>
                </a:lnTo>
                <a:cubicBezTo>
                  <a:pt x="493756" y="70721"/>
                  <a:pt x="502809" y="72810"/>
                  <a:pt x="511907" y="74246"/>
                </a:cubicBezTo>
                <a:cubicBezTo>
                  <a:pt x="527560" y="76717"/>
                  <a:pt x="543261" y="78953"/>
                  <a:pt x="558800" y="82061"/>
                </a:cubicBezTo>
                <a:cubicBezTo>
                  <a:pt x="564106" y="83122"/>
                  <a:pt x="587662" y="87512"/>
                  <a:pt x="593969" y="89877"/>
                </a:cubicBezTo>
                <a:cubicBezTo>
                  <a:pt x="671270" y="118864"/>
                  <a:pt x="563072" y="82181"/>
                  <a:pt x="621323" y="101600"/>
                </a:cubicBezTo>
                <a:cubicBezTo>
                  <a:pt x="640217" y="120494"/>
                  <a:pt x="643805" y="119747"/>
                  <a:pt x="593969" y="105508"/>
                </a:cubicBezTo>
                <a:cubicBezTo>
                  <a:pt x="576476" y="100510"/>
                  <a:pt x="578567" y="94780"/>
                  <a:pt x="562707" y="85969"/>
                </a:cubicBezTo>
                <a:cubicBezTo>
                  <a:pt x="556575" y="82563"/>
                  <a:pt x="549682" y="80759"/>
                  <a:pt x="543169" y="78154"/>
                </a:cubicBezTo>
                <a:cubicBezTo>
                  <a:pt x="498882" y="79456"/>
                  <a:pt x="454508" y="79013"/>
                  <a:pt x="410307" y="82061"/>
                </a:cubicBezTo>
                <a:cubicBezTo>
                  <a:pt x="403681" y="82518"/>
                  <a:pt x="423219" y="85527"/>
                  <a:pt x="429846" y="85969"/>
                </a:cubicBezTo>
                <a:cubicBezTo>
                  <a:pt x="462364" y="88137"/>
                  <a:pt x="494974" y="88574"/>
                  <a:pt x="527538" y="89877"/>
                </a:cubicBezTo>
                <a:cubicBezTo>
                  <a:pt x="532748" y="91179"/>
                  <a:pt x="538261" y="91603"/>
                  <a:pt x="543169" y="93784"/>
                </a:cubicBezTo>
                <a:cubicBezTo>
                  <a:pt x="550110" y="96869"/>
                  <a:pt x="556039" y="101871"/>
                  <a:pt x="562707" y="105508"/>
                </a:cubicBezTo>
                <a:cubicBezTo>
                  <a:pt x="570378" y="109692"/>
                  <a:pt x="578088" y="113870"/>
                  <a:pt x="586154" y="117231"/>
                </a:cubicBezTo>
                <a:cubicBezTo>
                  <a:pt x="593758" y="120399"/>
                  <a:pt x="601951" y="121987"/>
                  <a:pt x="609600" y="125046"/>
                </a:cubicBezTo>
                <a:cubicBezTo>
                  <a:pt x="615008" y="127209"/>
                  <a:pt x="620173" y="129971"/>
                  <a:pt x="625230" y="132861"/>
                </a:cubicBezTo>
                <a:cubicBezTo>
                  <a:pt x="629308" y="135191"/>
                  <a:pt x="636954" y="135980"/>
                  <a:pt x="636954" y="140677"/>
                </a:cubicBezTo>
                <a:cubicBezTo>
                  <a:pt x="636954" y="144796"/>
                  <a:pt x="628914" y="138611"/>
                  <a:pt x="625230" y="136769"/>
                </a:cubicBezTo>
                <a:cubicBezTo>
                  <a:pt x="618437" y="133372"/>
                  <a:pt x="612485" y="128443"/>
                  <a:pt x="605692" y="125046"/>
                </a:cubicBezTo>
                <a:cubicBezTo>
                  <a:pt x="602008" y="123204"/>
                  <a:pt x="597755" y="122761"/>
                  <a:pt x="593969" y="121138"/>
                </a:cubicBezTo>
                <a:cubicBezTo>
                  <a:pt x="588615" y="118843"/>
                  <a:pt x="584034" y="114544"/>
                  <a:pt x="578338" y="113323"/>
                </a:cubicBezTo>
                <a:cubicBezTo>
                  <a:pt x="565538" y="110580"/>
                  <a:pt x="552287" y="110718"/>
                  <a:pt x="539261" y="109415"/>
                </a:cubicBezTo>
                <a:lnTo>
                  <a:pt x="300892" y="113323"/>
                </a:lnTo>
                <a:cubicBezTo>
                  <a:pt x="286510" y="113723"/>
                  <a:pt x="272255" y="116168"/>
                  <a:pt x="257907" y="117231"/>
                </a:cubicBezTo>
                <a:cubicBezTo>
                  <a:pt x="148568" y="125330"/>
                  <a:pt x="237320" y="116944"/>
                  <a:pt x="156307" y="125046"/>
                </a:cubicBezTo>
                <a:cubicBezTo>
                  <a:pt x="174850" y="132463"/>
                  <a:pt x="173621" y="136394"/>
                  <a:pt x="191477" y="128954"/>
                </a:cubicBezTo>
                <a:cubicBezTo>
                  <a:pt x="202231" y="124473"/>
                  <a:pt x="222738" y="113323"/>
                  <a:pt x="222738" y="113323"/>
                </a:cubicBezTo>
                <a:cubicBezTo>
                  <a:pt x="334759" y="114626"/>
                  <a:pt x="446835" y="113457"/>
                  <a:pt x="558800" y="117231"/>
                </a:cubicBezTo>
                <a:cubicBezTo>
                  <a:pt x="563494" y="117389"/>
                  <a:pt x="574280" y="122228"/>
                  <a:pt x="570523" y="125046"/>
                </a:cubicBezTo>
                <a:cubicBezTo>
                  <a:pt x="563154" y="130572"/>
                  <a:pt x="552287" y="127651"/>
                  <a:pt x="543169" y="128954"/>
                </a:cubicBezTo>
                <a:cubicBezTo>
                  <a:pt x="527538" y="127651"/>
                  <a:pt x="511723" y="127772"/>
                  <a:pt x="496277" y="125046"/>
                </a:cubicBezTo>
                <a:cubicBezTo>
                  <a:pt x="489369" y="123827"/>
                  <a:pt x="483573" y="118808"/>
                  <a:pt x="476738" y="117231"/>
                </a:cubicBezTo>
                <a:cubicBezTo>
                  <a:pt x="471749" y="116080"/>
                  <a:pt x="413259" y="109743"/>
                  <a:pt x="410307" y="109415"/>
                </a:cubicBezTo>
                <a:cubicBezTo>
                  <a:pt x="398235" y="105966"/>
                  <a:pt x="373173" y="97692"/>
                  <a:pt x="359507" y="97692"/>
                </a:cubicBezTo>
                <a:cubicBezTo>
                  <a:pt x="354137" y="97692"/>
                  <a:pt x="349087" y="100297"/>
                  <a:pt x="343877" y="101600"/>
                </a:cubicBezTo>
                <a:cubicBezTo>
                  <a:pt x="364444" y="108456"/>
                  <a:pt x="358223" y="107292"/>
                  <a:pt x="390769" y="109415"/>
                </a:cubicBezTo>
                <a:cubicBezTo>
                  <a:pt x="438932" y="112556"/>
                  <a:pt x="487159" y="114626"/>
                  <a:pt x="535354" y="117231"/>
                </a:cubicBezTo>
                <a:cubicBezTo>
                  <a:pt x="545774" y="121139"/>
                  <a:pt x="556445" y="124434"/>
                  <a:pt x="566615" y="128954"/>
                </a:cubicBezTo>
                <a:cubicBezTo>
                  <a:pt x="630760" y="157463"/>
                  <a:pt x="585828" y="141870"/>
                  <a:pt x="617415" y="152400"/>
                </a:cubicBezTo>
                <a:cubicBezTo>
                  <a:pt x="618718" y="156308"/>
                  <a:pt x="624236" y="161210"/>
                  <a:pt x="621323" y="164123"/>
                </a:cubicBezTo>
                <a:cubicBezTo>
                  <a:pt x="618410" y="167036"/>
                  <a:pt x="613561" y="161347"/>
                  <a:pt x="609600" y="160215"/>
                </a:cubicBezTo>
                <a:cubicBezTo>
                  <a:pt x="604436" y="158740"/>
                  <a:pt x="599064" y="158006"/>
                  <a:pt x="593969" y="156308"/>
                </a:cubicBezTo>
                <a:cubicBezTo>
                  <a:pt x="570810" y="148588"/>
                  <a:pt x="579220" y="149753"/>
                  <a:pt x="558800" y="140677"/>
                </a:cubicBezTo>
                <a:cubicBezTo>
                  <a:pt x="552390" y="137828"/>
                  <a:pt x="545535" y="135998"/>
                  <a:pt x="539261" y="132861"/>
                </a:cubicBezTo>
                <a:cubicBezTo>
                  <a:pt x="535060" y="130761"/>
                  <a:pt x="531616" y="127376"/>
                  <a:pt x="527538" y="125046"/>
                </a:cubicBezTo>
                <a:cubicBezTo>
                  <a:pt x="510783" y="115472"/>
                  <a:pt x="470305" y="99531"/>
                  <a:pt x="461107" y="97692"/>
                </a:cubicBezTo>
                <a:cubicBezTo>
                  <a:pt x="448081" y="95087"/>
                  <a:pt x="434829" y="93432"/>
                  <a:pt x="422030" y="89877"/>
                </a:cubicBezTo>
                <a:cubicBezTo>
                  <a:pt x="353398" y="70813"/>
                  <a:pt x="425577" y="83127"/>
                  <a:pt x="363415" y="74246"/>
                </a:cubicBezTo>
                <a:cubicBezTo>
                  <a:pt x="358205" y="71641"/>
                  <a:pt x="352994" y="63826"/>
                  <a:pt x="347784" y="66431"/>
                </a:cubicBezTo>
                <a:cubicBezTo>
                  <a:pt x="343583" y="68532"/>
                  <a:pt x="351015" y="77135"/>
                  <a:pt x="355600" y="78154"/>
                </a:cubicBezTo>
                <a:cubicBezTo>
                  <a:pt x="375984" y="82684"/>
                  <a:pt x="397308" y="80396"/>
                  <a:pt x="418123" y="82061"/>
                </a:cubicBezTo>
                <a:cubicBezTo>
                  <a:pt x="429881" y="83002"/>
                  <a:pt x="441569" y="84666"/>
                  <a:pt x="453292" y="85969"/>
                </a:cubicBezTo>
                <a:cubicBezTo>
                  <a:pt x="462000" y="88146"/>
                  <a:pt x="480186" y="92957"/>
                  <a:pt x="488461" y="93784"/>
                </a:cubicBezTo>
                <a:cubicBezTo>
                  <a:pt x="507946" y="95732"/>
                  <a:pt x="527538" y="96389"/>
                  <a:pt x="547077" y="97692"/>
                </a:cubicBezTo>
                <a:cubicBezTo>
                  <a:pt x="596340" y="110009"/>
                  <a:pt x="519129" y="91146"/>
                  <a:pt x="586154" y="105508"/>
                </a:cubicBezTo>
                <a:cubicBezTo>
                  <a:pt x="596657" y="107759"/>
                  <a:pt x="606995" y="110718"/>
                  <a:pt x="617415" y="113323"/>
                </a:cubicBezTo>
                <a:lnTo>
                  <a:pt x="633046" y="117231"/>
                </a:lnTo>
                <a:lnTo>
                  <a:pt x="648677" y="121138"/>
                </a:lnTo>
                <a:cubicBezTo>
                  <a:pt x="650411" y="126340"/>
                  <a:pt x="660182" y="143092"/>
                  <a:pt x="640861" y="140677"/>
                </a:cubicBezTo>
                <a:cubicBezTo>
                  <a:pt x="633325" y="139735"/>
                  <a:pt x="627991" y="132591"/>
                  <a:pt x="621323" y="128954"/>
                </a:cubicBezTo>
                <a:cubicBezTo>
                  <a:pt x="613652" y="124770"/>
                  <a:pt x="605425" y="121634"/>
                  <a:pt x="597877" y="117231"/>
                </a:cubicBezTo>
                <a:cubicBezTo>
                  <a:pt x="589763" y="112498"/>
                  <a:pt x="582586" y="106260"/>
                  <a:pt x="574430" y="101600"/>
                </a:cubicBezTo>
                <a:cubicBezTo>
                  <a:pt x="564315" y="95820"/>
                  <a:pt x="554221" y="89653"/>
                  <a:pt x="543169" y="85969"/>
                </a:cubicBezTo>
                <a:cubicBezTo>
                  <a:pt x="496938" y="70558"/>
                  <a:pt x="486769" y="71018"/>
                  <a:pt x="445477" y="66431"/>
                </a:cubicBezTo>
                <a:cubicBezTo>
                  <a:pt x="420728" y="67733"/>
                  <a:pt x="394241" y="61134"/>
                  <a:pt x="371230" y="70338"/>
                </a:cubicBezTo>
                <a:cubicBezTo>
                  <a:pt x="359756" y="74927"/>
                  <a:pt x="394677" y="78153"/>
                  <a:pt x="406400" y="82061"/>
                </a:cubicBezTo>
                <a:cubicBezTo>
                  <a:pt x="426864" y="88882"/>
                  <a:pt x="414038" y="85385"/>
                  <a:pt x="445477" y="89877"/>
                </a:cubicBezTo>
                <a:cubicBezTo>
                  <a:pt x="454687" y="92947"/>
                  <a:pt x="479062" y="100561"/>
                  <a:pt x="488461" y="105508"/>
                </a:cubicBezTo>
                <a:cubicBezTo>
                  <a:pt x="507047" y="115290"/>
                  <a:pt x="525087" y="126084"/>
                  <a:pt x="543169" y="136769"/>
                </a:cubicBezTo>
                <a:cubicBezTo>
                  <a:pt x="553748" y="143020"/>
                  <a:pt x="563439" y="150813"/>
                  <a:pt x="574430" y="156308"/>
                </a:cubicBezTo>
                <a:cubicBezTo>
                  <a:pt x="582246" y="160216"/>
                  <a:pt x="590384" y="163535"/>
                  <a:pt x="597877" y="168031"/>
                </a:cubicBezTo>
                <a:cubicBezTo>
                  <a:pt x="609484" y="174995"/>
                  <a:pt x="612845" y="179092"/>
                  <a:pt x="621323" y="187569"/>
                </a:cubicBezTo>
                <a:cubicBezTo>
                  <a:pt x="620020" y="183661"/>
                  <a:pt x="619700" y="179273"/>
                  <a:pt x="617415" y="175846"/>
                </a:cubicBezTo>
                <a:cubicBezTo>
                  <a:pt x="610950" y="166149"/>
                  <a:pt x="598489" y="159624"/>
                  <a:pt x="590061" y="152400"/>
                </a:cubicBezTo>
                <a:cubicBezTo>
                  <a:pt x="583137" y="146465"/>
                  <a:pt x="576035" y="136001"/>
                  <a:pt x="566615" y="132861"/>
                </a:cubicBezTo>
                <a:cubicBezTo>
                  <a:pt x="559098" y="130355"/>
                  <a:pt x="551031" y="129937"/>
                  <a:pt x="543169" y="128954"/>
                </a:cubicBezTo>
                <a:cubicBezTo>
                  <a:pt x="519761" y="126028"/>
                  <a:pt x="496184" y="124474"/>
                  <a:pt x="472830" y="121138"/>
                </a:cubicBezTo>
                <a:lnTo>
                  <a:pt x="418123" y="113323"/>
                </a:lnTo>
                <a:cubicBezTo>
                  <a:pt x="414215" y="112020"/>
                  <a:pt x="410361" y="110547"/>
                  <a:pt x="406400" y="109415"/>
                </a:cubicBezTo>
                <a:cubicBezTo>
                  <a:pt x="396478" y="106580"/>
                  <a:pt x="388421" y="105618"/>
                  <a:pt x="379046" y="101600"/>
                </a:cubicBezTo>
                <a:cubicBezTo>
                  <a:pt x="373692" y="99305"/>
                  <a:pt x="357764" y="92371"/>
                  <a:pt x="363415" y="93784"/>
                </a:cubicBezTo>
                <a:cubicBezTo>
                  <a:pt x="368625" y="95087"/>
                  <a:pt x="373803" y="96527"/>
                  <a:pt x="379046" y="97692"/>
                </a:cubicBezTo>
                <a:cubicBezTo>
                  <a:pt x="396789" y="101635"/>
                  <a:pt x="404529" y="101460"/>
                  <a:pt x="422030" y="109415"/>
                </a:cubicBezTo>
                <a:cubicBezTo>
                  <a:pt x="428945" y="112558"/>
                  <a:pt x="434901" y="117501"/>
                  <a:pt x="441569" y="121138"/>
                </a:cubicBezTo>
                <a:cubicBezTo>
                  <a:pt x="449240" y="125322"/>
                  <a:pt x="456984" y="129419"/>
                  <a:pt x="465015" y="132861"/>
                </a:cubicBezTo>
                <a:cubicBezTo>
                  <a:pt x="475244" y="137245"/>
                  <a:pt x="486207" y="139845"/>
                  <a:pt x="496277" y="144584"/>
                </a:cubicBezTo>
                <a:cubicBezTo>
                  <a:pt x="508411" y="150294"/>
                  <a:pt x="519594" y="157848"/>
                  <a:pt x="531446" y="164123"/>
                </a:cubicBezTo>
                <a:cubicBezTo>
                  <a:pt x="541742" y="169574"/>
                  <a:pt x="552785" y="173648"/>
                  <a:pt x="562707" y="179754"/>
                </a:cubicBezTo>
                <a:cubicBezTo>
                  <a:pt x="569810" y="184125"/>
                  <a:pt x="575306" y="190758"/>
                  <a:pt x="582246" y="195384"/>
                </a:cubicBezTo>
                <a:cubicBezTo>
                  <a:pt x="594739" y="203712"/>
                  <a:pt x="611637" y="205916"/>
                  <a:pt x="621323" y="218831"/>
                </a:cubicBezTo>
                <a:lnTo>
                  <a:pt x="633046" y="234461"/>
                </a:lnTo>
                <a:cubicBezTo>
                  <a:pt x="635651" y="242277"/>
                  <a:pt x="644545" y="265277"/>
                  <a:pt x="640861" y="257908"/>
                </a:cubicBezTo>
                <a:cubicBezTo>
                  <a:pt x="630891" y="237968"/>
                  <a:pt x="625320" y="224827"/>
                  <a:pt x="613507" y="207108"/>
                </a:cubicBezTo>
                <a:cubicBezTo>
                  <a:pt x="609894" y="201689"/>
                  <a:pt x="605236" y="197000"/>
                  <a:pt x="601784" y="191477"/>
                </a:cubicBezTo>
                <a:cubicBezTo>
                  <a:pt x="598697" y="186537"/>
                  <a:pt x="596966" y="180841"/>
                  <a:pt x="593969" y="175846"/>
                </a:cubicBezTo>
                <a:cubicBezTo>
                  <a:pt x="589136" y="167792"/>
                  <a:pt x="583548" y="160215"/>
                  <a:pt x="578338" y="152400"/>
                </a:cubicBezTo>
                <a:cubicBezTo>
                  <a:pt x="575733" y="148492"/>
                  <a:pt x="573844" y="143998"/>
                  <a:pt x="570523" y="140677"/>
                </a:cubicBezTo>
                <a:cubicBezTo>
                  <a:pt x="545681" y="115835"/>
                  <a:pt x="573254" y="142303"/>
                  <a:pt x="543169" y="117231"/>
                </a:cubicBezTo>
                <a:cubicBezTo>
                  <a:pt x="540339" y="114872"/>
                  <a:pt x="538649" y="111063"/>
                  <a:pt x="535354" y="109415"/>
                </a:cubicBezTo>
                <a:cubicBezTo>
                  <a:pt x="527985" y="105731"/>
                  <a:pt x="511907" y="101600"/>
                  <a:pt x="511907" y="101600"/>
                </a:cubicBezTo>
                <a:cubicBezTo>
                  <a:pt x="497579" y="102903"/>
                  <a:pt x="475357" y="92640"/>
                  <a:pt x="468923" y="105508"/>
                </a:cubicBezTo>
                <a:cubicBezTo>
                  <a:pt x="467431" y="108492"/>
                  <a:pt x="510252" y="118771"/>
                  <a:pt x="519723" y="121138"/>
                </a:cubicBezTo>
                <a:cubicBezTo>
                  <a:pt x="524933" y="123743"/>
                  <a:pt x="530000" y="126659"/>
                  <a:pt x="535354" y="128954"/>
                </a:cubicBezTo>
                <a:cubicBezTo>
                  <a:pt x="539140" y="130577"/>
                  <a:pt x="543545" y="130742"/>
                  <a:pt x="547077" y="132861"/>
                </a:cubicBezTo>
                <a:cubicBezTo>
                  <a:pt x="550236" y="134757"/>
                  <a:pt x="551733" y="138781"/>
                  <a:pt x="554892" y="140677"/>
                </a:cubicBezTo>
                <a:cubicBezTo>
                  <a:pt x="558424" y="142796"/>
                  <a:pt x="562758" y="143138"/>
                  <a:pt x="566615" y="144584"/>
                </a:cubicBezTo>
                <a:cubicBezTo>
                  <a:pt x="573183" y="147047"/>
                  <a:pt x="579499" y="150182"/>
                  <a:pt x="586154" y="152400"/>
                </a:cubicBezTo>
                <a:cubicBezTo>
                  <a:pt x="591249" y="154098"/>
                  <a:pt x="596756" y="154422"/>
                  <a:pt x="601784" y="156308"/>
                </a:cubicBezTo>
                <a:cubicBezTo>
                  <a:pt x="607238" y="158353"/>
                  <a:pt x="612420" y="161126"/>
                  <a:pt x="617415" y="164123"/>
                </a:cubicBezTo>
                <a:cubicBezTo>
                  <a:pt x="628687" y="170886"/>
                  <a:pt x="640196" y="177393"/>
                  <a:pt x="648677" y="187569"/>
                </a:cubicBezTo>
                <a:cubicBezTo>
                  <a:pt x="652847" y="192572"/>
                  <a:pt x="656492" y="197990"/>
                  <a:pt x="660400" y="203200"/>
                </a:cubicBezTo>
                <a:cubicBezTo>
                  <a:pt x="669700" y="231101"/>
                  <a:pt x="663645" y="219791"/>
                  <a:pt x="676030" y="238369"/>
                </a:cubicBezTo>
                <a:cubicBezTo>
                  <a:pt x="674728" y="229251"/>
                  <a:pt x="674546" y="219901"/>
                  <a:pt x="672123" y="211015"/>
                </a:cubicBezTo>
                <a:cubicBezTo>
                  <a:pt x="669351" y="200851"/>
                  <a:pt x="652632" y="177871"/>
                  <a:pt x="648677" y="171938"/>
                </a:cubicBezTo>
                <a:cubicBezTo>
                  <a:pt x="646072" y="168030"/>
                  <a:pt x="645417" y="161354"/>
                  <a:pt x="640861" y="160215"/>
                </a:cubicBezTo>
                <a:lnTo>
                  <a:pt x="625230" y="156308"/>
                </a:lnTo>
                <a:cubicBezTo>
                  <a:pt x="609967" y="141043"/>
                  <a:pt x="625981" y="154728"/>
                  <a:pt x="605692" y="144584"/>
                </a:cubicBezTo>
                <a:cubicBezTo>
                  <a:pt x="601491" y="142484"/>
                  <a:pt x="598286" y="138619"/>
                  <a:pt x="593969" y="136769"/>
                </a:cubicBezTo>
                <a:cubicBezTo>
                  <a:pt x="589033" y="134653"/>
                  <a:pt x="583502" y="134336"/>
                  <a:pt x="578338" y="132861"/>
                </a:cubicBezTo>
                <a:cubicBezTo>
                  <a:pt x="574377" y="131729"/>
                  <a:pt x="570523" y="130256"/>
                  <a:pt x="566615" y="128954"/>
                </a:cubicBezTo>
                <a:cubicBezTo>
                  <a:pt x="564010" y="126349"/>
                  <a:pt x="558800" y="117454"/>
                  <a:pt x="558800" y="121138"/>
                </a:cubicBezTo>
                <a:cubicBezTo>
                  <a:pt x="558800" y="125834"/>
                  <a:pt x="563522" y="129327"/>
                  <a:pt x="566615" y="132861"/>
                </a:cubicBezTo>
                <a:cubicBezTo>
                  <a:pt x="572680" y="139793"/>
                  <a:pt x="581045" y="144736"/>
                  <a:pt x="586154" y="152400"/>
                </a:cubicBezTo>
                <a:cubicBezTo>
                  <a:pt x="588759" y="156308"/>
                  <a:pt x="590962" y="160515"/>
                  <a:pt x="593969" y="164123"/>
                </a:cubicBezTo>
                <a:cubicBezTo>
                  <a:pt x="604773" y="177088"/>
                  <a:pt x="606230" y="173014"/>
                  <a:pt x="613507" y="187569"/>
                </a:cubicBezTo>
                <a:cubicBezTo>
                  <a:pt x="615349" y="191253"/>
                  <a:pt x="616112" y="195384"/>
                  <a:pt x="617415" y="199292"/>
                </a:cubicBezTo>
                <a:cubicBezTo>
                  <a:pt x="616112" y="212318"/>
                  <a:pt x="617647" y="225950"/>
                  <a:pt x="613507" y="238369"/>
                </a:cubicBezTo>
                <a:cubicBezTo>
                  <a:pt x="612022" y="242824"/>
                  <a:pt x="605985" y="244084"/>
                  <a:pt x="601784" y="246184"/>
                </a:cubicBezTo>
                <a:cubicBezTo>
                  <a:pt x="598100" y="248026"/>
                  <a:pt x="585942" y="250092"/>
                  <a:pt x="590061" y="250092"/>
                </a:cubicBezTo>
                <a:cubicBezTo>
                  <a:pt x="596703" y="250092"/>
                  <a:pt x="603087" y="247487"/>
                  <a:pt x="609600" y="246184"/>
                </a:cubicBezTo>
                <a:cubicBezTo>
                  <a:pt x="614810" y="243579"/>
                  <a:pt x="620172" y="241259"/>
                  <a:pt x="625230" y="238369"/>
                </a:cubicBezTo>
                <a:cubicBezTo>
                  <a:pt x="629308" y="236039"/>
                  <a:pt x="632753" y="232654"/>
                  <a:pt x="636954" y="230554"/>
                </a:cubicBezTo>
                <a:cubicBezTo>
                  <a:pt x="640638" y="228712"/>
                  <a:pt x="644769" y="227949"/>
                  <a:pt x="648677" y="226646"/>
                </a:cubicBezTo>
                <a:cubicBezTo>
                  <a:pt x="651282" y="221436"/>
                  <a:pt x="656492" y="216840"/>
                  <a:pt x="656492" y="211015"/>
                </a:cubicBezTo>
                <a:cubicBezTo>
                  <a:pt x="656492" y="180071"/>
                  <a:pt x="656641" y="160364"/>
                  <a:pt x="636954" y="140677"/>
                </a:cubicBezTo>
                <a:cubicBezTo>
                  <a:pt x="632254" y="135977"/>
                  <a:pt x="614709" y="127089"/>
                  <a:pt x="609600" y="125046"/>
                </a:cubicBezTo>
                <a:cubicBezTo>
                  <a:pt x="601951" y="121987"/>
                  <a:pt x="586154" y="117231"/>
                  <a:pt x="586154" y="117231"/>
                </a:cubicBezTo>
                <a:cubicBezTo>
                  <a:pt x="579641" y="118533"/>
                  <a:pt x="570764" y="115952"/>
                  <a:pt x="566615" y="121138"/>
                </a:cubicBezTo>
                <a:cubicBezTo>
                  <a:pt x="563260" y="125332"/>
                  <a:pt x="569048" y="131605"/>
                  <a:pt x="570523" y="136769"/>
                </a:cubicBezTo>
                <a:cubicBezTo>
                  <a:pt x="573066" y="145671"/>
                  <a:pt x="575393" y="153362"/>
                  <a:pt x="582246" y="160215"/>
                </a:cubicBezTo>
                <a:cubicBezTo>
                  <a:pt x="585567" y="163536"/>
                  <a:pt x="590061" y="165426"/>
                  <a:pt x="593969" y="168031"/>
                </a:cubicBezTo>
                <a:cubicBezTo>
                  <a:pt x="596574" y="171939"/>
                  <a:pt x="598850" y="176087"/>
                  <a:pt x="601784" y="179754"/>
                </a:cubicBezTo>
                <a:cubicBezTo>
                  <a:pt x="604086" y="182631"/>
                  <a:pt x="607556" y="184504"/>
                  <a:pt x="609600" y="187569"/>
                </a:cubicBezTo>
                <a:cubicBezTo>
                  <a:pt x="612831" y="192416"/>
                  <a:pt x="614184" y="198353"/>
                  <a:pt x="617415" y="203200"/>
                </a:cubicBezTo>
                <a:cubicBezTo>
                  <a:pt x="622041" y="210140"/>
                  <a:pt x="628420" y="215798"/>
                  <a:pt x="633046" y="222738"/>
                </a:cubicBezTo>
                <a:cubicBezTo>
                  <a:pt x="649304" y="247124"/>
                  <a:pt x="634351" y="229257"/>
                  <a:pt x="644769" y="250092"/>
                </a:cubicBezTo>
                <a:cubicBezTo>
                  <a:pt x="659919" y="280393"/>
                  <a:pt x="646669" y="244072"/>
                  <a:pt x="656492" y="273538"/>
                </a:cubicBezTo>
                <a:cubicBezTo>
                  <a:pt x="655967" y="274589"/>
                  <a:pt x="647144" y="296356"/>
                  <a:pt x="640861" y="296984"/>
                </a:cubicBezTo>
                <a:cubicBezTo>
                  <a:pt x="630412" y="298029"/>
                  <a:pt x="620020" y="294379"/>
                  <a:pt x="609600" y="293077"/>
                </a:cubicBezTo>
                <a:cubicBezTo>
                  <a:pt x="604390" y="291774"/>
                  <a:pt x="599133" y="290645"/>
                  <a:pt x="593969" y="289169"/>
                </a:cubicBezTo>
                <a:cubicBezTo>
                  <a:pt x="590008" y="288037"/>
                  <a:pt x="578819" y="287546"/>
                  <a:pt x="582246" y="285261"/>
                </a:cubicBezTo>
                <a:cubicBezTo>
                  <a:pt x="592528" y="278406"/>
                  <a:pt x="605942" y="278127"/>
                  <a:pt x="617415" y="273538"/>
                </a:cubicBezTo>
                <a:cubicBezTo>
                  <a:pt x="641315" y="263979"/>
                  <a:pt x="631117" y="269614"/>
                  <a:pt x="648677" y="257908"/>
                </a:cubicBezTo>
                <a:cubicBezTo>
                  <a:pt x="651282" y="254000"/>
                  <a:pt x="654642" y="250501"/>
                  <a:pt x="656492" y="246184"/>
                </a:cubicBezTo>
                <a:cubicBezTo>
                  <a:pt x="662360" y="232492"/>
                  <a:pt x="662215" y="212169"/>
                  <a:pt x="656492" y="199292"/>
                </a:cubicBezTo>
                <a:cubicBezTo>
                  <a:pt x="654819" y="195528"/>
                  <a:pt x="648677" y="196687"/>
                  <a:pt x="644769" y="195384"/>
                </a:cubicBezTo>
                <a:cubicBezTo>
                  <a:pt x="639559" y="196687"/>
                  <a:pt x="633332" y="195937"/>
                  <a:pt x="629138" y="199292"/>
                </a:cubicBezTo>
                <a:cubicBezTo>
                  <a:pt x="625922" y="201865"/>
                  <a:pt x="625230" y="206896"/>
                  <a:pt x="625230" y="211015"/>
                </a:cubicBezTo>
                <a:cubicBezTo>
                  <a:pt x="625230" y="223632"/>
                  <a:pt x="630572" y="228797"/>
                  <a:pt x="636954" y="238369"/>
                </a:cubicBezTo>
                <a:cubicBezTo>
                  <a:pt x="638256" y="243579"/>
                  <a:pt x="640861" y="248629"/>
                  <a:pt x="640861" y="254000"/>
                </a:cubicBezTo>
                <a:cubicBezTo>
                  <a:pt x="640861" y="260358"/>
                  <a:pt x="633091" y="273493"/>
                  <a:pt x="629138" y="277446"/>
                </a:cubicBezTo>
                <a:cubicBezTo>
                  <a:pt x="625817" y="280767"/>
                  <a:pt x="621323" y="282656"/>
                  <a:pt x="617415" y="285261"/>
                </a:cubicBezTo>
                <a:cubicBezTo>
                  <a:pt x="605692" y="283959"/>
                  <a:pt x="587521" y="291904"/>
                  <a:pt x="582246" y="281354"/>
                </a:cubicBezTo>
                <a:cubicBezTo>
                  <a:pt x="577549" y="271961"/>
                  <a:pt x="603175" y="279325"/>
                  <a:pt x="613507" y="277446"/>
                </a:cubicBezTo>
                <a:cubicBezTo>
                  <a:pt x="623891" y="275558"/>
                  <a:pt x="628409" y="271826"/>
                  <a:pt x="636954" y="265723"/>
                </a:cubicBezTo>
                <a:cubicBezTo>
                  <a:pt x="653206" y="254115"/>
                  <a:pt x="649295" y="257289"/>
                  <a:pt x="660400" y="246184"/>
                </a:cubicBezTo>
                <a:cubicBezTo>
                  <a:pt x="659097" y="230553"/>
                  <a:pt x="660533" y="214447"/>
                  <a:pt x="656492" y="199292"/>
                </a:cubicBezTo>
                <a:cubicBezTo>
                  <a:pt x="654324" y="191161"/>
                  <a:pt x="640719" y="184469"/>
                  <a:pt x="633046" y="183661"/>
                </a:cubicBezTo>
                <a:cubicBezTo>
                  <a:pt x="612279" y="181475"/>
                  <a:pt x="591364" y="181056"/>
                  <a:pt x="570523" y="179754"/>
                </a:cubicBezTo>
                <a:cubicBezTo>
                  <a:pt x="513912" y="160882"/>
                  <a:pt x="583807" y="185885"/>
                  <a:pt x="519723" y="156308"/>
                </a:cubicBezTo>
                <a:cubicBezTo>
                  <a:pt x="512243" y="152856"/>
                  <a:pt x="504019" y="151307"/>
                  <a:pt x="496277" y="148492"/>
                </a:cubicBezTo>
                <a:cubicBezTo>
                  <a:pt x="489685" y="146095"/>
                  <a:pt x="483148" y="143526"/>
                  <a:pt x="476738" y="140677"/>
                </a:cubicBezTo>
                <a:cubicBezTo>
                  <a:pt x="471415" y="138311"/>
                  <a:pt x="466918" y="133266"/>
                  <a:pt x="461107" y="132861"/>
                </a:cubicBezTo>
                <a:cubicBezTo>
                  <a:pt x="410414" y="129324"/>
                  <a:pt x="359507" y="130256"/>
                  <a:pt x="308707" y="128954"/>
                </a:cubicBezTo>
                <a:cubicBezTo>
                  <a:pt x="215322" y="113389"/>
                  <a:pt x="262179" y="119739"/>
                  <a:pt x="62523" y="128954"/>
                </a:cubicBezTo>
                <a:cubicBezTo>
                  <a:pt x="51793" y="129449"/>
                  <a:pt x="31261" y="136769"/>
                  <a:pt x="31261" y="136769"/>
                </a:cubicBezTo>
                <a:cubicBezTo>
                  <a:pt x="27117" y="139531"/>
                  <a:pt x="14508" y="146830"/>
                  <a:pt x="11723" y="152400"/>
                </a:cubicBezTo>
                <a:cubicBezTo>
                  <a:pt x="9321" y="157204"/>
                  <a:pt x="9358" y="162887"/>
                  <a:pt x="7815" y="168031"/>
                </a:cubicBezTo>
                <a:cubicBezTo>
                  <a:pt x="5448" y="175922"/>
                  <a:pt x="0" y="191477"/>
                  <a:pt x="0" y="191477"/>
                </a:cubicBezTo>
                <a:cubicBezTo>
                  <a:pt x="21255" y="223361"/>
                  <a:pt x="-737" y="195498"/>
                  <a:pt x="11723" y="140677"/>
                </a:cubicBezTo>
                <a:cubicBezTo>
                  <a:pt x="17853" y="113705"/>
                  <a:pt x="34250" y="118152"/>
                  <a:pt x="50800" y="101600"/>
                </a:cubicBezTo>
                <a:cubicBezTo>
                  <a:pt x="61527" y="90871"/>
                  <a:pt x="55120" y="94949"/>
                  <a:pt x="70338" y="89877"/>
                </a:cubicBezTo>
                <a:cubicBezTo>
                  <a:pt x="85969" y="91179"/>
                  <a:pt x="101666" y="91839"/>
                  <a:pt x="117230" y="93784"/>
                </a:cubicBezTo>
                <a:cubicBezTo>
                  <a:pt x="133802" y="95855"/>
                  <a:pt x="135534" y="100318"/>
                  <a:pt x="152400" y="105508"/>
                </a:cubicBezTo>
                <a:cubicBezTo>
                  <a:pt x="175410" y="112588"/>
                  <a:pt x="184823" y="113517"/>
                  <a:pt x="207107" y="117231"/>
                </a:cubicBezTo>
                <a:cubicBezTo>
                  <a:pt x="197989" y="118533"/>
                  <a:pt x="188945" y="120545"/>
                  <a:pt x="179754" y="121138"/>
                </a:cubicBezTo>
                <a:cubicBezTo>
                  <a:pt x="148530" y="123152"/>
                  <a:pt x="114196" y="111546"/>
                  <a:pt x="85969" y="125046"/>
                </a:cubicBezTo>
                <a:cubicBezTo>
                  <a:pt x="74160" y="130694"/>
                  <a:pt x="85737" y="151704"/>
                  <a:pt x="89877" y="164123"/>
                </a:cubicBezTo>
                <a:cubicBezTo>
                  <a:pt x="91362" y="168578"/>
                  <a:pt x="97992" y="168931"/>
                  <a:pt x="101600" y="171938"/>
                </a:cubicBezTo>
                <a:cubicBezTo>
                  <a:pt x="121556" y="188568"/>
                  <a:pt x="103652" y="181243"/>
                  <a:pt x="128954" y="187569"/>
                </a:cubicBezTo>
                <a:cubicBezTo>
                  <a:pt x="136769" y="186266"/>
                  <a:pt x="155944" y="190748"/>
                  <a:pt x="152400" y="183661"/>
                </a:cubicBezTo>
                <a:cubicBezTo>
                  <a:pt x="148281" y="175423"/>
                  <a:pt x="134108" y="181402"/>
                  <a:pt x="125046" y="179754"/>
                </a:cubicBezTo>
                <a:cubicBezTo>
                  <a:pt x="119762" y="178793"/>
                  <a:pt x="114625" y="177149"/>
                  <a:pt x="109415" y="175846"/>
                </a:cubicBezTo>
                <a:cubicBezTo>
                  <a:pt x="99330" y="169122"/>
                  <a:pt x="80462" y="157169"/>
                  <a:pt x="70338" y="148492"/>
                </a:cubicBezTo>
                <a:cubicBezTo>
                  <a:pt x="66142" y="144896"/>
                  <a:pt x="62523" y="140677"/>
                  <a:pt x="58615" y="136769"/>
                </a:cubicBezTo>
                <a:cubicBezTo>
                  <a:pt x="57312" y="132861"/>
                  <a:pt x="54196" y="129133"/>
                  <a:pt x="54707" y="125046"/>
                </a:cubicBezTo>
                <a:cubicBezTo>
                  <a:pt x="57717" y="100968"/>
                  <a:pt x="63620" y="108318"/>
                  <a:pt x="78154" y="93784"/>
                </a:cubicBezTo>
                <a:cubicBezTo>
                  <a:pt x="91495" y="80443"/>
                  <a:pt x="86712" y="77066"/>
                  <a:pt x="101600" y="66431"/>
                </a:cubicBezTo>
                <a:cubicBezTo>
                  <a:pt x="106340" y="63045"/>
                  <a:pt x="112020" y="61220"/>
                  <a:pt x="117230" y="58615"/>
                </a:cubicBezTo>
                <a:cubicBezTo>
                  <a:pt x="135466" y="59918"/>
                  <a:pt x="153969" y="59154"/>
                  <a:pt x="171938" y="62523"/>
                </a:cubicBezTo>
                <a:cubicBezTo>
                  <a:pt x="175559" y="63202"/>
                  <a:pt x="176689" y="68294"/>
                  <a:pt x="179754" y="70338"/>
                </a:cubicBezTo>
                <a:cubicBezTo>
                  <a:pt x="184601" y="73569"/>
                  <a:pt x="190030" y="75859"/>
                  <a:pt x="195384" y="78154"/>
                </a:cubicBezTo>
                <a:cubicBezTo>
                  <a:pt x="215676" y="86851"/>
                  <a:pt x="242317" y="84769"/>
                  <a:pt x="156307" y="78154"/>
                </a:cubicBezTo>
                <a:cubicBezTo>
                  <a:pt x="139374" y="79456"/>
                  <a:pt x="122199" y="78931"/>
                  <a:pt x="105507" y="82061"/>
                </a:cubicBezTo>
                <a:cubicBezTo>
                  <a:pt x="100891" y="82927"/>
                  <a:pt x="97985" y="87777"/>
                  <a:pt x="93784" y="89877"/>
                </a:cubicBezTo>
                <a:cubicBezTo>
                  <a:pt x="90100" y="91719"/>
                  <a:pt x="85969" y="92482"/>
                  <a:pt x="82061" y="93784"/>
                </a:cubicBezTo>
                <a:cubicBezTo>
                  <a:pt x="75542" y="100304"/>
                  <a:pt x="62721" y="108791"/>
                  <a:pt x="78154" y="121138"/>
                </a:cubicBezTo>
                <a:cubicBezTo>
                  <a:pt x="82347" y="124493"/>
                  <a:pt x="88574" y="118533"/>
                  <a:pt x="93784" y="117231"/>
                </a:cubicBezTo>
                <a:cubicBezTo>
                  <a:pt x="97692" y="114626"/>
                  <a:pt x="101972" y="112508"/>
                  <a:pt x="105507" y="109415"/>
                </a:cubicBezTo>
                <a:cubicBezTo>
                  <a:pt x="112439" y="103350"/>
                  <a:pt x="116808" y="93996"/>
                  <a:pt x="125046" y="89877"/>
                </a:cubicBezTo>
                <a:cubicBezTo>
                  <a:pt x="135351" y="84724"/>
                  <a:pt x="149235" y="77241"/>
                  <a:pt x="160215" y="74246"/>
                </a:cubicBezTo>
                <a:cubicBezTo>
                  <a:pt x="167859" y="72161"/>
                  <a:pt x="175830" y="71543"/>
                  <a:pt x="183661" y="70338"/>
                </a:cubicBezTo>
                <a:cubicBezTo>
                  <a:pt x="206998" y="66748"/>
                  <a:pt x="218309" y="65519"/>
                  <a:pt x="242277" y="62523"/>
                </a:cubicBezTo>
                <a:lnTo>
                  <a:pt x="468923" y="66431"/>
                </a:lnTo>
                <a:cubicBezTo>
                  <a:pt x="475561" y="66642"/>
                  <a:pt x="481910" y="69246"/>
                  <a:pt x="488461" y="70338"/>
                </a:cubicBezTo>
                <a:cubicBezTo>
                  <a:pt x="497546" y="71852"/>
                  <a:pt x="506730" y="72732"/>
                  <a:pt x="515815" y="74246"/>
                </a:cubicBezTo>
                <a:cubicBezTo>
                  <a:pt x="522367" y="75338"/>
                  <a:pt x="528779" y="77215"/>
                  <a:pt x="535354" y="78154"/>
                </a:cubicBezTo>
                <a:cubicBezTo>
                  <a:pt x="556146" y="81124"/>
                  <a:pt x="597877" y="85969"/>
                  <a:pt x="597877" y="85969"/>
                </a:cubicBezTo>
                <a:cubicBezTo>
                  <a:pt x="602878" y="87220"/>
                  <a:pt x="619629" y="90984"/>
                  <a:pt x="625230" y="93784"/>
                </a:cubicBezTo>
                <a:cubicBezTo>
                  <a:pt x="652221" y="107279"/>
                  <a:pt x="620050" y="97374"/>
                  <a:pt x="652584" y="105508"/>
                </a:cubicBezTo>
                <a:cubicBezTo>
                  <a:pt x="653887" y="109416"/>
                  <a:pt x="657074" y="113153"/>
                  <a:pt x="656492" y="117231"/>
                </a:cubicBezTo>
                <a:cubicBezTo>
                  <a:pt x="655668" y="122997"/>
                  <a:pt x="650972" y="127507"/>
                  <a:pt x="648677" y="132861"/>
                </a:cubicBezTo>
                <a:cubicBezTo>
                  <a:pt x="647054" y="136647"/>
                  <a:pt x="647163" y="141232"/>
                  <a:pt x="644769" y="144584"/>
                </a:cubicBezTo>
                <a:cubicBezTo>
                  <a:pt x="640486" y="150580"/>
                  <a:pt x="633225" y="154084"/>
                  <a:pt x="629138" y="160215"/>
                </a:cubicBezTo>
                <a:cubicBezTo>
                  <a:pt x="619279" y="175004"/>
                  <a:pt x="624644" y="168617"/>
                  <a:pt x="613507" y="179754"/>
                </a:cubicBezTo>
                <a:lnTo>
                  <a:pt x="601784" y="171938"/>
                </a:lnTo>
              </a:path>
            </a:pathLst>
          </a:custGeom>
          <a:noFill/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pic>
        <xdr:nvPicPr>
          <xdr:cNvPr id="127" name="Picture 126">
            <a:extLst>
              <a:ext uri="{FF2B5EF4-FFF2-40B4-BE49-F238E27FC236}">
                <a16:creationId xmlns:a16="http://schemas.microsoft.com/office/drawing/2014/main" id="{26D2E6CC-C6CA-9A36-46FC-AD50D57E7A5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3503440100" y="16306800"/>
            <a:ext cx="480906" cy="509954"/>
          </a:xfrm>
          <a:prstGeom prst="rect">
            <a:avLst/>
          </a:prstGeom>
        </xdr:spPr>
      </xdr:pic>
    </xdr:grpSp>
    <xdr:clientData/>
  </xdr:twoCellAnchor>
  <xdr:twoCellAnchor editAs="oneCell">
    <xdr:from>
      <xdr:col>5</xdr:col>
      <xdr:colOff>444822</xdr:colOff>
      <xdr:row>122</xdr:row>
      <xdr:rowOff>38681</xdr:rowOff>
    </xdr:from>
    <xdr:to>
      <xdr:col>7</xdr:col>
      <xdr:colOff>178767</xdr:colOff>
      <xdr:row>128</xdr:row>
      <xdr:rowOff>166455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AC99600-1BB9-2A29-7F9A-2F19A0ACE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3755853" y="24813351"/>
          <a:ext cx="1384300" cy="1346200"/>
        </a:xfrm>
        <a:prstGeom prst="rect">
          <a:avLst/>
        </a:prstGeom>
      </xdr:spPr>
    </xdr:pic>
    <xdr:clientData/>
  </xdr:twoCellAnchor>
  <xdr:twoCellAnchor>
    <xdr:from>
      <xdr:col>5</xdr:col>
      <xdr:colOff>815508</xdr:colOff>
      <xdr:row>124</xdr:row>
      <xdr:rowOff>148274</xdr:rowOff>
    </xdr:from>
    <xdr:to>
      <xdr:col>6</xdr:col>
      <xdr:colOff>96701</xdr:colOff>
      <xdr:row>125</xdr:row>
      <xdr:rowOff>25787</xdr:rowOff>
    </xdr:to>
    <xdr:sp macro="" textlink="">
      <xdr:nvSpPr>
        <xdr:cNvPr id="129" name="Oval 128">
          <a:extLst>
            <a:ext uri="{FF2B5EF4-FFF2-40B4-BE49-F238E27FC236}">
              <a16:creationId xmlns:a16="http://schemas.microsoft.com/office/drawing/2014/main" id="{3134DFBF-168F-4E98-9F41-14BAADC438CD}"/>
            </a:ext>
          </a:extLst>
        </xdr:cNvPr>
        <xdr:cNvSpPr/>
      </xdr:nvSpPr>
      <xdr:spPr>
        <a:xfrm>
          <a:off x="13514663096" y="25329086"/>
          <a:ext cx="106371" cy="80584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315888</xdr:colOff>
      <xdr:row>124</xdr:row>
      <xdr:rowOff>157944</xdr:rowOff>
    </xdr:from>
    <xdr:to>
      <xdr:col>6</xdr:col>
      <xdr:colOff>415812</xdr:colOff>
      <xdr:row>125</xdr:row>
      <xdr:rowOff>25787</xdr:rowOff>
    </xdr:to>
    <xdr:sp macro="" textlink="">
      <xdr:nvSpPr>
        <xdr:cNvPr id="130" name="Oval 129">
          <a:extLst>
            <a:ext uri="{FF2B5EF4-FFF2-40B4-BE49-F238E27FC236}">
              <a16:creationId xmlns:a16="http://schemas.microsoft.com/office/drawing/2014/main" id="{7EE1410A-E768-2A43-E662-F10FABB486FB}"/>
            </a:ext>
          </a:extLst>
        </xdr:cNvPr>
        <xdr:cNvSpPr/>
      </xdr:nvSpPr>
      <xdr:spPr>
        <a:xfrm>
          <a:off x="13514343985" y="25338756"/>
          <a:ext cx="99924" cy="70914"/>
        </a:xfrm>
        <a:prstGeom prst="ellipse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203071</xdr:colOff>
      <xdr:row>122</xdr:row>
      <xdr:rowOff>63086</xdr:rowOff>
    </xdr:from>
    <xdr:to>
      <xdr:col>6</xdr:col>
      <xdr:colOff>796305</xdr:colOff>
      <xdr:row>128</xdr:row>
      <xdr:rowOff>132158</xdr:rowOff>
    </xdr:to>
    <xdr:sp macro="" textlink="">
      <xdr:nvSpPr>
        <xdr:cNvPr id="131" name="Freeform 130">
          <a:extLst>
            <a:ext uri="{FF2B5EF4-FFF2-40B4-BE49-F238E27FC236}">
              <a16:creationId xmlns:a16="http://schemas.microsoft.com/office/drawing/2014/main" id="{0FFEE836-C1D9-D879-90FA-D62C8232FED9}"/>
            </a:ext>
          </a:extLst>
        </xdr:cNvPr>
        <xdr:cNvSpPr/>
      </xdr:nvSpPr>
      <xdr:spPr>
        <a:xfrm>
          <a:off x="13513963492" y="24837756"/>
          <a:ext cx="593234" cy="1287498"/>
        </a:xfrm>
        <a:custGeom>
          <a:avLst/>
          <a:gdLst>
            <a:gd name="connsiteX0" fmla="*/ 499757 w 593234"/>
            <a:gd name="connsiteY0" fmla="*/ 49731 h 1287498"/>
            <a:gd name="connsiteX1" fmla="*/ 380493 w 593234"/>
            <a:gd name="connsiteY1" fmla="*/ 136762 h 1287498"/>
            <a:gd name="connsiteX2" fmla="*/ 357929 w 593234"/>
            <a:gd name="connsiteY2" fmla="*/ 162549 h 1287498"/>
            <a:gd name="connsiteX3" fmla="*/ 338589 w 593234"/>
            <a:gd name="connsiteY3" fmla="*/ 188335 h 1287498"/>
            <a:gd name="connsiteX4" fmla="*/ 296686 w 593234"/>
            <a:gd name="connsiteY4" fmla="*/ 268919 h 1287498"/>
            <a:gd name="connsiteX5" fmla="*/ 277346 w 593234"/>
            <a:gd name="connsiteY5" fmla="*/ 323716 h 1287498"/>
            <a:gd name="connsiteX6" fmla="*/ 270899 w 593234"/>
            <a:gd name="connsiteY6" fmla="*/ 359173 h 1287498"/>
            <a:gd name="connsiteX7" fmla="*/ 251559 w 593234"/>
            <a:gd name="connsiteY7" fmla="*/ 436533 h 1287498"/>
            <a:gd name="connsiteX8" fmla="*/ 241889 w 593234"/>
            <a:gd name="connsiteY8" fmla="*/ 478437 h 1287498"/>
            <a:gd name="connsiteX9" fmla="*/ 235442 w 593234"/>
            <a:gd name="connsiteY9" fmla="*/ 520340 h 1287498"/>
            <a:gd name="connsiteX10" fmla="*/ 232219 w 593234"/>
            <a:gd name="connsiteY10" fmla="*/ 562244 h 1287498"/>
            <a:gd name="connsiteX11" fmla="*/ 228995 w 593234"/>
            <a:gd name="connsiteY11" fmla="*/ 597701 h 1287498"/>
            <a:gd name="connsiteX12" fmla="*/ 225772 w 593234"/>
            <a:gd name="connsiteY12" fmla="*/ 675061 h 1287498"/>
            <a:gd name="connsiteX13" fmla="*/ 228995 w 593234"/>
            <a:gd name="connsiteY13" fmla="*/ 758868 h 1287498"/>
            <a:gd name="connsiteX14" fmla="*/ 232219 w 593234"/>
            <a:gd name="connsiteY14" fmla="*/ 774985 h 1287498"/>
            <a:gd name="connsiteX15" fmla="*/ 245112 w 593234"/>
            <a:gd name="connsiteY15" fmla="*/ 807219 h 1287498"/>
            <a:gd name="connsiteX16" fmla="*/ 264452 w 593234"/>
            <a:gd name="connsiteY16" fmla="*/ 868462 h 1287498"/>
            <a:gd name="connsiteX17" fmla="*/ 270899 w 593234"/>
            <a:gd name="connsiteY17" fmla="*/ 900696 h 1287498"/>
            <a:gd name="connsiteX18" fmla="*/ 283792 w 593234"/>
            <a:gd name="connsiteY18" fmla="*/ 974833 h 1287498"/>
            <a:gd name="connsiteX19" fmla="*/ 290239 w 593234"/>
            <a:gd name="connsiteY19" fmla="*/ 1000620 h 1287498"/>
            <a:gd name="connsiteX20" fmla="*/ 299909 w 593234"/>
            <a:gd name="connsiteY20" fmla="*/ 1032853 h 1287498"/>
            <a:gd name="connsiteX21" fmla="*/ 303132 w 593234"/>
            <a:gd name="connsiteY21" fmla="*/ 1042523 h 1287498"/>
            <a:gd name="connsiteX22" fmla="*/ 296686 w 593234"/>
            <a:gd name="connsiteY22" fmla="*/ 1026406 h 1287498"/>
            <a:gd name="connsiteX23" fmla="*/ 283792 w 593234"/>
            <a:gd name="connsiteY23" fmla="*/ 1000620 h 1287498"/>
            <a:gd name="connsiteX24" fmla="*/ 261229 w 593234"/>
            <a:gd name="connsiteY24" fmla="*/ 945823 h 1287498"/>
            <a:gd name="connsiteX25" fmla="*/ 254782 w 593234"/>
            <a:gd name="connsiteY25" fmla="*/ 891026 h 1287498"/>
            <a:gd name="connsiteX26" fmla="*/ 245112 w 593234"/>
            <a:gd name="connsiteY26" fmla="*/ 820112 h 1287498"/>
            <a:gd name="connsiteX27" fmla="*/ 241889 w 593234"/>
            <a:gd name="connsiteY27" fmla="*/ 749198 h 1287498"/>
            <a:gd name="connsiteX28" fmla="*/ 238665 w 593234"/>
            <a:gd name="connsiteY28" fmla="*/ 700848 h 1287498"/>
            <a:gd name="connsiteX29" fmla="*/ 241889 w 593234"/>
            <a:gd name="connsiteY29" fmla="*/ 623488 h 1287498"/>
            <a:gd name="connsiteX30" fmla="*/ 251559 w 593234"/>
            <a:gd name="connsiteY30" fmla="*/ 600924 h 1287498"/>
            <a:gd name="connsiteX31" fmla="*/ 309579 w 593234"/>
            <a:gd name="connsiteY31" fmla="*/ 449427 h 1287498"/>
            <a:gd name="connsiteX32" fmla="*/ 338589 w 593234"/>
            <a:gd name="connsiteY32" fmla="*/ 355950 h 1287498"/>
            <a:gd name="connsiteX33" fmla="*/ 348259 w 593234"/>
            <a:gd name="connsiteY33" fmla="*/ 330163 h 1287498"/>
            <a:gd name="connsiteX34" fmla="*/ 361153 w 593234"/>
            <a:gd name="connsiteY34" fmla="*/ 291483 h 1287498"/>
            <a:gd name="connsiteX35" fmla="*/ 383716 w 593234"/>
            <a:gd name="connsiteY35" fmla="*/ 249579 h 1287498"/>
            <a:gd name="connsiteX36" fmla="*/ 403056 w 593234"/>
            <a:gd name="connsiteY36" fmla="*/ 220569 h 1287498"/>
            <a:gd name="connsiteX37" fmla="*/ 444960 w 593234"/>
            <a:gd name="connsiteY37" fmla="*/ 152879 h 1287498"/>
            <a:gd name="connsiteX38" fmla="*/ 473970 w 593234"/>
            <a:gd name="connsiteY38" fmla="*/ 101305 h 1287498"/>
            <a:gd name="connsiteX39" fmla="*/ 486863 w 593234"/>
            <a:gd name="connsiteY39" fmla="*/ 78741 h 1287498"/>
            <a:gd name="connsiteX40" fmla="*/ 506203 w 593234"/>
            <a:gd name="connsiteY40" fmla="*/ 65848 h 1287498"/>
            <a:gd name="connsiteX41" fmla="*/ 548107 w 593234"/>
            <a:gd name="connsiteY41" fmla="*/ 36838 h 1287498"/>
            <a:gd name="connsiteX42" fmla="*/ 567447 w 593234"/>
            <a:gd name="connsiteY42" fmla="*/ 23945 h 1287498"/>
            <a:gd name="connsiteX43" fmla="*/ 580340 w 593234"/>
            <a:gd name="connsiteY43" fmla="*/ 11051 h 1287498"/>
            <a:gd name="connsiteX44" fmla="*/ 593234 w 593234"/>
            <a:gd name="connsiteY44" fmla="*/ 1381 h 1287498"/>
            <a:gd name="connsiteX45" fmla="*/ 580340 w 593234"/>
            <a:gd name="connsiteY45" fmla="*/ 7828 h 1287498"/>
            <a:gd name="connsiteX46" fmla="*/ 577117 w 593234"/>
            <a:gd name="connsiteY46" fmla="*/ 17498 h 1287498"/>
            <a:gd name="connsiteX47" fmla="*/ 564224 w 593234"/>
            <a:gd name="connsiteY47" fmla="*/ 36838 h 1287498"/>
            <a:gd name="connsiteX48" fmla="*/ 561000 w 593234"/>
            <a:gd name="connsiteY48" fmla="*/ 59401 h 1287498"/>
            <a:gd name="connsiteX49" fmla="*/ 551330 w 593234"/>
            <a:gd name="connsiteY49" fmla="*/ 62625 h 1287498"/>
            <a:gd name="connsiteX50" fmla="*/ 538437 w 593234"/>
            <a:gd name="connsiteY50" fmla="*/ 69071 h 1287498"/>
            <a:gd name="connsiteX51" fmla="*/ 490087 w 593234"/>
            <a:gd name="connsiteY51" fmla="*/ 104528 h 1287498"/>
            <a:gd name="connsiteX52" fmla="*/ 432066 w 593234"/>
            <a:gd name="connsiteY52" fmla="*/ 159325 h 1287498"/>
            <a:gd name="connsiteX53" fmla="*/ 390163 w 593234"/>
            <a:gd name="connsiteY53" fmla="*/ 214122 h 1287498"/>
            <a:gd name="connsiteX54" fmla="*/ 370823 w 593234"/>
            <a:gd name="connsiteY54" fmla="*/ 239909 h 1287498"/>
            <a:gd name="connsiteX55" fmla="*/ 322472 w 593234"/>
            <a:gd name="connsiteY55" fmla="*/ 304376 h 1287498"/>
            <a:gd name="connsiteX56" fmla="*/ 306356 w 593234"/>
            <a:gd name="connsiteY56" fmla="*/ 326939 h 1287498"/>
            <a:gd name="connsiteX57" fmla="*/ 267676 w 593234"/>
            <a:gd name="connsiteY57" fmla="*/ 401076 h 1287498"/>
            <a:gd name="connsiteX58" fmla="*/ 212879 w 593234"/>
            <a:gd name="connsiteY58" fmla="*/ 559021 h 1287498"/>
            <a:gd name="connsiteX59" fmla="*/ 199985 w 593234"/>
            <a:gd name="connsiteY59" fmla="*/ 658945 h 1287498"/>
            <a:gd name="connsiteX60" fmla="*/ 193538 w 593234"/>
            <a:gd name="connsiteY60" fmla="*/ 771762 h 1287498"/>
            <a:gd name="connsiteX61" fmla="*/ 196762 w 593234"/>
            <a:gd name="connsiteY61" fmla="*/ 974833 h 1287498"/>
            <a:gd name="connsiteX62" fmla="*/ 206432 w 593234"/>
            <a:gd name="connsiteY62" fmla="*/ 1003843 h 1287498"/>
            <a:gd name="connsiteX63" fmla="*/ 216102 w 593234"/>
            <a:gd name="connsiteY63" fmla="*/ 1029630 h 1287498"/>
            <a:gd name="connsiteX64" fmla="*/ 222549 w 593234"/>
            <a:gd name="connsiteY64" fmla="*/ 1048970 h 1287498"/>
            <a:gd name="connsiteX65" fmla="*/ 228995 w 593234"/>
            <a:gd name="connsiteY65" fmla="*/ 1065087 h 1287498"/>
            <a:gd name="connsiteX66" fmla="*/ 232219 w 593234"/>
            <a:gd name="connsiteY66" fmla="*/ 1074757 h 1287498"/>
            <a:gd name="connsiteX67" fmla="*/ 225772 w 593234"/>
            <a:gd name="connsiteY67" fmla="*/ 1065087 h 1287498"/>
            <a:gd name="connsiteX68" fmla="*/ 222549 w 593234"/>
            <a:gd name="connsiteY68" fmla="*/ 1055417 h 1287498"/>
            <a:gd name="connsiteX69" fmla="*/ 164528 w 593234"/>
            <a:gd name="connsiteY69" fmla="*/ 965163 h 1287498"/>
            <a:gd name="connsiteX70" fmla="*/ 125848 w 593234"/>
            <a:gd name="connsiteY70" fmla="*/ 849122 h 1287498"/>
            <a:gd name="connsiteX71" fmla="*/ 119401 w 593234"/>
            <a:gd name="connsiteY71" fmla="*/ 784655 h 1287498"/>
            <a:gd name="connsiteX72" fmla="*/ 112955 w 593234"/>
            <a:gd name="connsiteY72" fmla="*/ 623488 h 1287498"/>
            <a:gd name="connsiteX73" fmla="*/ 116178 w 593234"/>
            <a:gd name="connsiteY73" fmla="*/ 465543 h 1287498"/>
            <a:gd name="connsiteX74" fmla="*/ 141965 w 593234"/>
            <a:gd name="connsiteY74" fmla="*/ 365620 h 1287498"/>
            <a:gd name="connsiteX75" fmla="*/ 187092 w 593234"/>
            <a:gd name="connsiteY75" fmla="*/ 252802 h 1287498"/>
            <a:gd name="connsiteX76" fmla="*/ 196762 w 593234"/>
            <a:gd name="connsiteY76" fmla="*/ 236686 h 1287498"/>
            <a:gd name="connsiteX77" fmla="*/ 203209 w 593234"/>
            <a:gd name="connsiteY77" fmla="*/ 227016 h 1287498"/>
            <a:gd name="connsiteX78" fmla="*/ 209655 w 593234"/>
            <a:gd name="connsiteY78" fmla="*/ 214122 h 1287498"/>
            <a:gd name="connsiteX79" fmla="*/ 254782 w 593234"/>
            <a:gd name="connsiteY79" fmla="*/ 168995 h 1287498"/>
            <a:gd name="connsiteX80" fmla="*/ 325696 w 593234"/>
            <a:gd name="connsiteY80" fmla="*/ 98082 h 1287498"/>
            <a:gd name="connsiteX81" fmla="*/ 367599 w 593234"/>
            <a:gd name="connsiteY81" fmla="*/ 62625 h 1287498"/>
            <a:gd name="connsiteX82" fmla="*/ 377269 w 593234"/>
            <a:gd name="connsiteY82" fmla="*/ 59401 h 1287498"/>
            <a:gd name="connsiteX83" fmla="*/ 406280 w 593234"/>
            <a:gd name="connsiteY83" fmla="*/ 49731 h 1287498"/>
            <a:gd name="connsiteX84" fmla="*/ 425620 w 593234"/>
            <a:gd name="connsiteY84" fmla="*/ 43285 h 1287498"/>
            <a:gd name="connsiteX85" fmla="*/ 438513 w 593234"/>
            <a:gd name="connsiteY85" fmla="*/ 36838 h 1287498"/>
            <a:gd name="connsiteX86" fmla="*/ 457853 w 593234"/>
            <a:gd name="connsiteY86" fmla="*/ 30391 h 1287498"/>
            <a:gd name="connsiteX87" fmla="*/ 435290 w 593234"/>
            <a:gd name="connsiteY87" fmla="*/ 36838 h 1287498"/>
            <a:gd name="connsiteX88" fmla="*/ 412726 w 593234"/>
            <a:gd name="connsiteY88" fmla="*/ 56178 h 1287498"/>
            <a:gd name="connsiteX89" fmla="*/ 406280 w 593234"/>
            <a:gd name="connsiteY89" fmla="*/ 69071 h 1287498"/>
            <a:gd name="connsiteX90" fmla="*/ 361153 w 593234"/>
            <a:gd name="connsiteY90" fmla="*/ 130315 h 1287498"/>
            <a:gd name="connsiteX91" fmla="*/ 258005 w 593234"/>
            <a:gd name="connsiteY91" fmla="*/ 265696 h 1287498"/>
            <a:gd name="connsiteX92" fmla="*/ 203209 w 593234"/>
            <a:gd name="connsiteY92" fmla="*/ 378513 h 1287498"/>
            <a:gd name="connsiteX93" fmla="*/ 151635 w 593234"/>
            <a:gd name="connsiteY93" fmla="*/ 526787 h 1287498"/>
            <a:gd name="connsiteX94" fmla="*/ 135518 w 593234"/>
            <a:gd name="connsiteY94" fmla="*/ 584807 h 1287498"/>
            <a:gd name="connsiteX95" fmla="*/ 125848 w 593234"/>
            <a:gd name="connsiteY95" fmla="*/ 636381 h 1287498"/>
            <a:gd name="connsiteX96" fmla="*/ 119401 w 593234"/>
            <a:gd name="connsiteY96" fmla="*/ 733082 h 1287498"/>
            <a:gd name="connsiteX97" fmla="*/ 122625 w 593234"/>
            <a:gd name="connsiteY97" fmla="*/ 1119884 h 1287498"/>
            <a:gd name="connsiteX98" fmla="*/ 129071 w 593234"/>
            <a:gd name="connsiteY98" fmla="*/ 1174681 h 1287498"/>
            <a:gd name="connsiteX99" fmla="*/ 132295 w 593234"/>
            <a:gd name="connsiteY99" fmla="*/ 1194021 h 1287498"/>
            <a:gd name="connsiteX100" fmla="*/ 138742 w 593234"/>
            <a:gd name="connsiteY100" fmla="*/ 1213361 h 1287498"/>
            <a:gd name="connsiteX101" fmla="*/ 132295 w 593234"/>
            <a:gd name="connsiteY101" fmla="*/ 1161787 h 1287498"/>
            <a:gd name="connsiteX102" fmla="*/ 129071 w 593234"/>
            <a:gd name="connsiteY102" fmla="*/ 1113437 h 1287498"/>
            <a:gd name="connsiteX103" fmla="*/ 122625 w 593234"/>
            <a:gd name="connsiteY103" fmla="*/ 1042523 h 1287498"/>
            <a:gd name="connsiteX104" fmla="*/ 125848 w 593234"/>
            <a:gd name="connsiteY104" fmla="*/ 784655 h 1287498"/>
            <a:gd name="connsiteX105" fmla="*/ 180645 w 593234"/>
            <a:gd name="connsiteY105" fmla="*/ 610594 h 1287498"/>
            <a:gd name="connsiteX106" fmla="*/ 232219 w 593234"/>
            <a:gd name="connsiteY106" fmla="*/ 449427 h 1287498"/>
            <a:gd name="connsiteX107" fmla="*/ 254782 w 593234"/>
            <a:gd name="connsiteY107" fmla="*/ 391406 h 1287498"/>
            <a:gd name="connsiteX108" fmla="*/ 312802 w 593234"/>
            <a:gd name="connsiteY108" fmla="*/ 288259 h 1287498"/>
            <a:gd name="connsiteX109" fmla="*/ 325696 w 593234"/>
            <a:gd name="connsiteY109" fmla="*/ 268919 h 1287498"/>
            <a:gd name="connsiteX110" fmla="*/ 338589 w 593234"/>
            <a:gd name="connsiteY110" fmla="*/ 249579 h 1287498"/>
            <a:gd name="connsiteX111" fmla="*/ 348259 w 593234"/>
            <a:gd name="connsiteY111" fmla="*/ 236686 h 1287498"/>
            <a:gd name="connsiteX112" fmla="*/ 354706 w 593234"/>
            <a:gd name="connsiteY112" fmla="*/ 227016 h 1287498"/>
            <a:gd name="connsiteX113" fmla="*/ 377269 w 593234"/>
            <a:gd name="connsiteY113" fmla="*/ 214122 h 1287498"/>
            <a:gd name="connsiteX114" fmla="*/ 406280 w 593234"/>
            <a:gd name="connsiteY114" fmla="*/ 188335 h 1287498"/>
            <a:gd name="connsiteX115" fmla="*/ 451406 w 593234"/>
            <a:gd name="connsiteY115" fmla="*/ 139985 h 1287498"/>
            <a:gd name="connsiteX116" fmla="*/ 461077 w 593234"/>
            <a:gd name="connsiteY116" fmla="*/ 133538 h 1287498"/>
            <a:gd name="connsiteX117" fmla="*/ 480417 w 593234"/>
            <a:gd name="connsiteY117" fmla="*/ 114198 h 1287498"/>
            <a:gd name="connsiteX118" fmla="*/ 493310 w 593234"/>
            <a:gd name="connsiteY118" fmla="*/ 107752 h 1287498"/>
            <a:gd name="connsiteX119" fmla="*/ 502980 w 593234"/>
            <a:gd name="connsiteY119" fmla="*/ 101305 h 1287498"/>
            <a:gd name="connsiteX120" fmla="*/ 512650 w 593234"/>
            <a:gd name="connsiteY120" fmla="*/ 98082 h 1287498"/>
            <a:gd name="connsiteX121" fmla="*/ 528767 w 593234"/>
            <a:gd name="connsiteY121" fmla="*/ 91635 h 1287498"/>
            <a:gd name="connsiteX122" fmla="*/ 538437 w 593234"/>
            <a:gd name="connsiteY122" fmla="*/ 85188 h 1287498"/>
            <a:gd name="connsiteX123" fmla="*/ 561000 w 593234"/>
            <a:gd name="connsiteY123" fmla="*/ 78741 h 1287498"/>
            <a:gd name="connsiteX124" fmla="*/ 570670 w 593234"/>
            <a:gd name="connsiteY124" fmla="*/ 72295 h 1287498"/>
            <a:gd name="connsiteX125" fmla="*/ 561000 w 593234"/>
            <a:gd name="connsiteY125" fmla="*/ 69071 h 1287498"/>
            <a:gd name="connsiteX126" fmla="*/ 551330 w 593234"/>
            <a:gd name="connsiteY126" fmla="*/ 75518 h 1287498"/>
            <a:gd name="connsiteX127" fmla="*/ 528767 w 593234"/>
            <a:gd name="connsiteY127" fmla="*/ 81965 h 1287498"/>
            <a:gd name="connsiteX128" fmla="*/ 519097 w 593234"/>
            <a:gd name="connsiteY128" fmla="*/ 85188 h 1287498"/>
            <a:gd name="connsiteX129" fmla="*/ 496533 w 593234"/>
            <a:gd name="connsiteY129" fmla="*/ 101305 h 1287498"/>
            <a:gd name="connsiteX130" fmla="*/ 483640 w 593234"/>
            <a:gd name="connsiteY130" fmla="*/ 110975 h 1287498"/>
            <a:gd name="connsiteX131" fmla="*/ 464300 w 593234"/>
            <a:gd name="connsiteY131" fmla="*/ 123868 h 1287498"/>
            <a:gd name="connsiteX132" fmla="*/ 406280 w 593234"/>
            <a:gd name="connsiteY132" fmla="*/ 165772 h 1287498"/>
            <a:gd name="connsiteX133" fmla="*/ 264452 w 593234"/>
            <a:gd name="connsiteY133" fmla="*/ 336609 h 1287498"/>
            <a:gd name="connsiteX134" fmla="*/ 170975 w 593234"/>
            <a:gd name="connsiteY134" fmla="*/ 491330 h 1287498"/>
            <a:gd name="connsiteX135" fmla="*/ 154858 w 593234"/>
            <a:gd name="connsiteY135" fmla="*/ 539681 h 1287498"/>
            <a:gd name="connsiteX136" fmla="*/ 125848 w 593234"/>
            <a:gd name="connsiteY136" fmla="*/ 675061 h 1287498"/>
            <a:gd name="connsiteX137" fmla="*/ 116178 w 593234"/>
            <a:gd name="connsiteY137" fmla="*/ 839452 h 1287498"/>
            <a:gd name="connsiteX138" fmla="*/ 122625 w 593234"/>
            <a:gd name="connsiteY138" fmla="*/ 1145670 h 1287498"/>
            <a:gd name="connsiteX139" fmla="*/ 132295 w 593234"/>
            <a:gd name="connsiteY139" fmla="*/ 1197244 h 1287498"/>
            <a:gd name="connsiteX140" fmla="*/ 148412 w 593234"/>
            <a:gd name="connsiteY140" fmla="*/ 1255264 h 1287498"/>
            <a:gd name="connsiteX141" fmla="*/ 154858 w 593234"/>
            <a:gd name="connsiteY141" fmla="*/ 1271381 h 1287498"/>
            <a:gd name="connsiteX142" fmla="*/ 158082 w 593234"/>
            <a:gd name="connsiteY142" fmla="*/ 1281051 h 1287498"/>
            <a:gd name="connsiteX143" fmla="*/ 167752 w 593234"/>
            <a:gd name="connsiteY143" fmla="*/ 1287498 h 1287498"/>
            <a:gd name="connsiteX144" fmla="*/ 161305 w 593234"/>
            <a:gd name="connsiteY144" fmla="*/ 1268158 h 1287498"/>
            <a:gd name="connsiteX145" fmla="*/ 154858 w 593234"/>
            <a:gd name="connsiteY145" fmla="*/ 1245594 h 1287498"/>
            <a:gd name="connsiteX146" fmla="*/ 148412 w 593234"/>
            <a:gd name="connsiteY146" fmla="*/ 1232701 h 1287498"/>
            <a:gd name="connsiteX147" fmla="*/ 145188 w 593234"/>
            <a:gd name="connsiteY147" fmla="*/ 1223031 h 1287498"/>
            <a:gd name="connsiteX148" fmla="*/ 132295 w 593234"/>
            <a:gd name="connsiteY148" fmla="*/ 1206914 h 1287498"/>
            <a:gd name="connsiteX149" fmla="*/ 103285 w 593234"/>
            <a:gd name="connsiteY149" fmla="*/ 1139224 h 1287498"/>
            <a:gd name="connsiteX150" fmla="*/ 90391 w 593234"/>
            <a:gd name="connsiteY150" fmla="*/ 1110214 h 1287498"/>
            <a:gd name="connsiteX151" fmla="*/ 80721 w 593234"/>
            <a:gd name="connsiteY151" fmla="*/ 1087650 h 1287498"/>
            <a:gd name="connsiteX152" fmla="*/ 64604 w 593234"/>
            <a:gd name="connsiteY152" fmla="*/ 1039300 h 1287498"/>
            <a:gd name="connsiteX153" fmla="*/ 61381 w 593234"/>
            <a:gd name="connsiteY153" fmla="*/ 1003843 h 1287498"/>
            <a:gd name="connsiteX154" fmla="*/ 64604 w 593234"/>
            <a:gd name="connsiteY154" fmla="*/ 878132 h 1287498"/>
            <a:gd name="connsiteX155" fmla="*/ 80721 w 593234"/>
            <a:gd name="connsiteY155" fmla="*/ 745975 h 1287498"/>
            <a:gd name="connsiteX156" fmla="*/ 83945 w 593234"/>
            <a:gd name="connsiteY156" fmla="*/ 697625 h 1287498"/>
            <a:gd name="connsiteX157" fmla="*/ 87168 w 593234"/>
            <a:gd name="connsiteY157" fmla="*/ 662168 h 1287498"/>
            <a:gd name="connsiteX158" fmla="*/ 93615 w 593234"/>
            <a:gd name="connsiteY158" fmla="*/ 517117 h 1287498"/>
            <a:gd name="connsiteX159" fmla="*/ 96838 w 593234"/>
            <a:gd name="connsiteY159" fmla="*/ 394630 h 1287498"/>
            <a:gd name="connsiteX160" fmla="*/ 103285 w 593234"/>
            <a:gd name="connsiteY160" fmla="*/ 304376 h 1287498"/>
            <a:gd name="connsiteX161" fmla="*/ 109731 w 593234"/>
            <a:gd name="connsiteY161" fmla="*/ 278589 h 1287498"/>
            <a:gd name="connsiteX162" fmla="*/ 119401 w 593234"/>
            <a:gd name="connsiteY162" fmla="*/ 230239 h 1287498"/>
            <a:gd name="connsiteX163" fmla="*/ 135518 w 593234"/>
            <a:gd name="connsiteY163" fmla="*/ 198005 h 1287498"/>
            <a:gd name="connsiteX164" fmla="*/ 222549 w 593234"/>
            <a:gd name="connsiteY164" fmla="*/ 75518 h 1287498"/>
            <a:gd name="connsiteX165" fmla="*/ 238665 w 593234"/>
            <a:gd name="connsiteY165" fmla="*/ 52955 h 1287498"/>
            <a:gd name="connsiteX166" fmla="*/ 245112 w 593234"/>
            <a:gd name="connsiteY166" fmla="*/ 43285 h 1287498"/>
            <a:gd name="connsiteX167" fmla="*/ 264452 w 593234"/>
            <a:gd name="connsiteY167" fmla="*/ 46508 h 1287498"/>
            <a:gd name="connsiteX168" fmla="*/ 280569 w 593234"/>
            <a:gd name="connsiteY168" fmla="*/ 49731 h 1287498"/>
            <a:gd name="connsiteX169" fmla="*/ 328919 w 593234"/>
            <a:gd name="connsiteY169" fmla="*/ 43285 h 1287498"/>
            <a:gd name="connsiteX170" fmla="*/ 351483 w 593234"/>
            <a:gd name="connsiteY170" fmla="*/ 33615 h 1287498"/>
            <a:gd name="connsiteX171" fmla="*/ 367599 w 593234"/>
            <a:gd name="connsiteY171" fmla="*/ 23945 h 1287498"/>
            <a:gd name="connsiteX172" fmla="*/ 386939 w 593234"/>
            <a:gd name="connsiteY172" fmla="*/ 17498 h 1287498"/>
            <a:gd name="connsiteX173" fmla="*/ 377269 w 593234"/>
            <a:gd name="connsiteY173" fmla="*/ 23945 h 1287498"/>
            <a:gd name="connsiteX174" fmla="*/ 361153 w 593234"/>
            <a:gd name="connsiteY174" fmla="*/ 30391 h 1287498"/>
            <a:gd name="connsiteX175" fmla="*/ 345036 w 593234"/>
            <a:gd name="connsiteY175" fmla="*/ 43285 h 1287498"/>
            <a:gd name="connsiteX176" fmla="*/ 193538 w 593234"/>
            <a:gd name="connsiteY176" fmla="*/ 210899 h 1287498"/>
            <a:gd name="connsiteX177" fmla="*/ 87168 w 593234"/>
            <a:gd name="connsiteY177" fmla="*/ 330163 h 1287498"/>
            <a:gd name="connsiteX178" fmla="*/ 61381 w 593234"/>
            <a:gd name="connsiteY178" fmla="*/ 372066 h 1287498"/>
            <a:gd name="connsiteX179" fmla="*/ 42041 w 593234"/>
            <a:gd name="connsiteY179" fmla="*/ 407523 h 1287498"/>
            <a:gd name="connsiteX180" fmla="*/ 32371 w 593234"/>
            <a:gd name="connsiteY180" fmla="*/ 439757 h 1287498"/>
            <a:gd name="connsiteX181" fmla="*/ 22701 w 593234"/>
            <a:gd name="connsiteY181" fmla="*/ 501000 h 1287498"/>
            <a:gd name="connsiteX182" fmla="*/ 19478 w 593234"/>
            <a:gd name="connsiteY182" fmla="*/ 523564 h 1287498"/>
            <a:gd name="connsiteX183" fmla="*/ 22701 w 593234"/>
            <a:gd name="connsiteY183" fmla="*/ 597701 h 1287498"/>
            <a:gd name="connsiteX184" fmla="*/ 29148 w 593234"/>
            <a:gd name="connsiteY184" fmla="*/ 639604 h 1287498"/>
            <a:gd name="connsiteX185" fmla="*/ 54934 w 593234"/>
            <a:gd name="connsiteY185" fmla="*/ 768538 h 1287498"/>
            <a:gd name="connsiteX186" fmla="*/ 67828 w 593234"/>
            <a:gd name="connsiteY186" fmla="*/ 823335 h 1287498"/>
            <a:gd name="connsiteX187" fmla="*/ 132295 w 593234"/>
            <a:gd name="connsiteY187" fmla="*/ 949046 h 1287498"/>
            <a:gd name="connsiteX188" fmla="*/ 151635 w 593234"/>
            <a:gd name="connsiteY188" fmla="*/ 981280 h 1287498"/>
            <a:gd name="connsiteX189" fmla="*/ 248335 w 593234"/>
            <a:gd name="connsiteY189" fmla="*/ 1084427 h 1287498"/>
            <a:gd name="connsiteX190" fmla="*/ 280569 w 593234"/>
            <a:gd name="connsiteY190" fmla="*/ 1110214 h 1287498"/>
            <a:gd name="connsiteX191" fmla="*/ 332143 w 593234"/>
            <a:gd name="connsiteY191" fmla="*/ 1152117 h 1287498"/>
            <a:gd name="connsiteX192" fmla="*/ 341813 w 593234"/>
            <a:gd name="connsiteY192" fmla="*/ 1158564 h 1287498"/>
            <a:gd name="connsiteX193" fmla="*/ 332143 w 593234"/>
            <a:gd name="connsiteY193" fmla="*/ 1155340 h 1287498"/>
            <a:gd name="connsiteX194" fmla="*/ 319249 w 593234"/>
            <a:gd name="connsiteY194" fmla="*/ 1142447 h 1287498"/>
            <a:gd name="connsiteX195" fmla="*/ 303132 w 593234"/>
            <a:gd name="connsiteY195" fmla="*/ 1136000 h 1287498"/>
            <a:gd name="connsiteX196" fmla="*/ 277346 w 593234"/>
            <a:gd name="connsiteY196" fmla="*/ 1123107 h 1287498"/>
            <a:gd name="connsiteX197" fmla="*/ 245112 w 593234"/>
            <a:gd name="connsiteY197" fmla="*/ 1103767 h 1287498"/>
            <a:gd name="connsiteX198" fmla="*/ 183868 w 593234"/>
            <a:gd name="connsiteY198" fmla="*/ 1045747 h 1287498"/>
            <a:gd name="connsiteX199" fmla="*/ 129071 w 593234"/>
            <a:gd name="connsiteY199" fmla="*/ 942599 h 1287498"/>
            <a:gd name="connsiteX200" fmla="*/ 87168 w 593234"/>
            <a:gd name="connsiteY200" fmla="*/ 771762 h 1287498"/>
            <a:gd name="connsiteX201" fmla="*/ 77498 w 593234"/>
            <a:gd name="connsiteY201" fmla="*/ 675061 h 1287498"/>
            <a:gd name="connsiteX202" fmla="*/ 74274 w 593234"/>
            <a:gd name="connsiteY202" fmla="*/ 649274 h 1287498"/>
            <a:gd name="connsiteX203" fmla="*/ 83945 w 593234"/>
            <a:gd name="connsiteY203" fmla="*/ 575137 h 1287498"/>
            <a:gd name="connsiteX204" fmla="*/ 125848 w 593234"/>
            <a:gd name="connsiteY204" fmla="*/ 478437 h 1287498"/>
            <a:gd name="connsiteX205" fmla="*/ 183868 w 593234"/>
            <a:gd name="connsiteY205" fmla="*/ 375290 h 1287498"/>
            <a:gd name="connsiteX206" fmla="*/ 290239 w 593234"/>
            <a:gd name="connsiteY206" fmla="*/ 227016 h 1287498"/>
            <a:gd name="connsiteX207" fmla="*/ 319249 w 593234"/>
            <a:gd name="connsiteY207" fmla="*/ 191559 h 1287498"/>
            <a:gd name="connsiteX208" fmla="*/ 341813 w 593234"/>
            <a:gd name="connsiteY208" fmla="*/ 159325 h 1287498"/>
            <a:gd name="connsiteX209" fmla="*/ 357929 w 593234"/>
            <a:gd name="connsiteY209" fmla="*/ 139985 h 1287498"/>
            <a:gd name="connsiteX210" fmla="*/ 367599 w 593234"/>
            <a:gd name="connsiteY210" fmla="*/ 127092 h 1287498"/>
            <a:gd name="connsiteX211" fmla="*/ 383716 w 593234"/>
            <a:gd name="connsiteY211" fmla="*/ 120645 h 1287498"/>
            <a:gd name="connsiteX212" fmla="*/ 403056 w 593234"/>
            <a:gd name="connsiteY212" fmla="*/ 110975 h 1287498"/>
            <a:gd name="connsiteX213" fmla="*/ 425620 w 593234"/>
            <a:gd name="connsiteY213" fmla="*/ 98082 h 1287498"/>
            <a:gd name="connsiteX214" fmla="*/ 457853 w 593234"/>
            <a:gd name="connsiteY214" fmla="*/ 88412 h 1287498"/>
            <a:gd name="connsiteX215" fmla="*/ 477193 w 593234"/>
            <a:gd name="connsiteY215" fmla="*/ 81965 h 1287498"/>
            <a:gd name="connsiteX216" fmla="*/ 444960 w 593234"/>
            <a:gd name="connsiteY216" fmla="*/ 101305 h 1287498"/>
            <a:gd name="connsiteX217" fmla="*/ 428843 w 593234"/>
            <a:gd name="connsiteY217" fmla="*/ 110975 h 1287498"/>
            <a:gd name="connsiteX218" fmla="*/ 415950 w 593234"/>
            <a:gd name="connsiteY218" fmla="*/ 123868 h 1287498"/>
            <a:gd name="connsiteX219" fmla="*/ 403056 w 593234"/>
            <a:gd name="connsiteY219" fmla="*/ 133538 h 1287498"/>
            <a:gd name="connsiteX220" fmla="*/ 374046 w 593234"/>
            <a:gd name="connsiteY220" fmla="*/ 172219 h 1287498"/>
            <a:gd name="connsiteX221" fmla="*/ 341813 w 593234"/>
            <a:gd name="connsiteY221" fmla="*/ 207675 h 1287498"/>
            <a:gd name="connsiteX222" fmla="*/ 258005 w 593234"/>
            <a:gd name="connsiteY222" fmla="*/ 307599 h 1287498"/>
            <a:gd name="connsiteX223" fmla="*/ 180645 w 593234"/>
            <a:gd name="connsiteY223" fmla="*/ 423640 h 1287498"/>
            <a:gd name="connsiteX224" fmla="*/ 148412 w 593234"/>
            <a:gd name="connsiteY224" fmla="*/ 562244 h 1287498"/>
            <a:gd name="connsiteX225" fmla="*/ 122625 w 593234"/>
            <a:gd name="connsiteY225" fmla="*/ 736305 h 1287498"/>
            <a:gd name="connsiteX226" fmla="*/ 129071 w 593234"/>
            <a:gd name="connsiteY226" fmla="*/ 949046 h 1287498"/>
            <a:gd name="connsiteX227" fmla="*/ 154858 w 593234"/>
            <a:gd name="connsiteY227" fmla="*/ 1094097 h 1287498"/>
            <a:gd name="connsiteX228" fmla="*/ 199985 w 593234"/>
            <a:gd name="connsiteY228" fmla="*/ 1210137 h 1287498"/>
            <a:gd name="connsiteX229" fmla="*/ 232219 w 593234"/>
            <a:gd name="connsiteY229" fmla="*/ 1239148 h 1287498"/>
            <a:gd name="connsiteX230" fmla="*/ 241889 w 593234"/>
            <a:gd name="connsiteY230" fmla="*/ 1248818 h 1287498"/>
            <a:gd name="connsiteX231" fmla="*/ 261229 w 593234"/>
            <a:gd name="connsiteY231" fmla="*/ 1255264 h 1287498"/>
            <a:gd name="connsiteX232" fmla="*/ 283792 w 593234"/>
            <a:gd name="connsiteY232" fmla="*/ 1252041 h 1287498"/>
            <a:gd name="connsiteX233" fmla="*/ 274122 w 593234"/>
            <a:gd name="connsiteY233" fmla="*/ 1245594 h 1287498"/>
            <a:gd name="connsiteX234" fmla="*/ 258005 w 593234"/>
            <a:gd name="connsiteY234" fmla="*/ 1232701 h 1287498"/>
            <a:gd name="connsiteX235" fmla="*/ 232219 w 593234"/>
            <a:gd name="connsiteY235" fmla="*/ 1200467 h 1287498"/>
            <a:gd name="connsiteX236" fmla="*/ 206432 w 593234"/>
            <a:gd name="connsiteY236" fmla="*/ 1168234 h 1287498"/>
            <a:gd name="connsiteX237" fmla="*/ 138742 w 593234"/>
            <a:gd name="connsiteY237" fmla="*/ 1061863 h 1287498"/>
            <a:gd name="connsiteX238" fmla="*/ 116178 w 593234"/>
            <a:gd name="connsiteY238" fmla="*/ 1016736 h 1287498"/>
            <a:gd name="connsiteX239" fmla="*/ 103285 w 593234"/>
            <a:gd name="connsiteY239" fmla="*/ 981280 h 1287498"/>
            <a:gd name="connsiteX240" fmla="*/ 100061 w 593234"/>
            <a:gd name="connsiteY240" fmla="*/ 955493 h 1287498"/>
            <a:gd name="connsiteX241" fmla="*/ 96838 w 593234"/>
            <a:gd name="connsiteY241" fmla="*/ 936153 h 1287498"/>
            <a:gd name="connsiteX242" fmla="*/ 100061 w 593234"/>
            <a:gd name="connsiteY242" fmla="*/ 913589 h 1287498"/>
            <a:gd name="connsiteX243" fmla="*/ 132295 w 593234"/>
            <a:gd name="connsiteY243" fmla="*/ 826559 h 1287498"/>
            <a:gd name="connsiteX244" fmla="*/ 154858 w 593234"/>
            <a:gd name="connsiteY244" fmla="*/ 768538 h 1287498"/>
            <a:gd name="connsiteX245" fmla="*/ 170975 w 593234"/>
            <a:gd name="connsiteY245" fmla="*/ 720188 h 1287498"/>
            <a:gd name="connsiteX246" fmla="*/ 193538 w 593234"/>
            <a:gd name="connsiteY246" fmla="*/ 665391 h 1287498"/>
            <a:gd name="connsiteX247" fmla="*/ 196762 w 593234"/>
            <a:gd name="connsiteY247" fmla="*/ 655721 h 1287498"/>
            <a:gd name="connsiteX248" fmla="*/ 203209 w 593234"/>
            <a:gd name="connsiteY248" fmla="*/ 639604 h 1287498"/>
            <a:gd name="connsiteX249" fmla="*/ 209655 w 593234"/>
            <a:gd name="connsiteY249" fmla="*/ 617041 h 1287498"/>
            <a:gd name="connsiteX250" fmla="*/ 225772 w 593234"/>
            <a:gd name="connsiteY250" fmla="*/ 571914 h 1287498"/>
            <a:gd name="connsiteX251" fmla="*/ 241889 w 593234"/>
            <a:gd name="connsiteY251" fmla="*/ 520340 h 1287498"/>
            <a:gd name="connsiteX252" fmla="*/ 258005 w 593234"/>
            <a:gd name="connsiteY252" fmla="*/ 481660 h 1287498"/>
            <a:gd name="connsiteX253" fmla="*/ 267676 w 593234"/>
            <a:gd name="connsiteY253" fmla="*/ 449427 h 1287498"/>
            <a:gd name="connsiteX254" fmla="*/ 277346 w 593234"/>
            <a:gd name="connsiteY254" fmla="*/ 423640 h 1287498"/>
            <a:gd name="connsiteX255" fmla="*/ 280569 w 593234"/>
            <a:gd name="connsiteY255" fmla="*/ 401076 h 1287498"/>
            <a:gd name="connsiteX256" fmla="*/ 287016 w 593234"/>
            <a:gd name="connsiteY256" fmla="*/ 378513 h 1287498"/>
            <a:gd name="connsiteX257" fmla="*/ 306356 w 593234"/>
            <a:gd name="connsiteY257" fmla="*/ 323716 h 1287498"/>
            <a:gd name="connsiteX258" fmla="*/ 338589 w 593234"/>
            <a:gd name="connsiteY258" fmla="*/ 262472 h 1287498"/>
            <a:gd name="connsiteX259" fmla="*/ 361153 w 593234"/>
            <a:gd name="connsiteY259" fmla="*/ 230239 h 1287498"/>
            <a:gd name="connsiteX260" fmla="*/ 415950 w 593234"/>
            <a:gd name="connsiteY260" fmla="*/ 162549 h 1287498"/>
            <a:gd name="connsiteX261" fmla="*/ 448183 w 593234"/>
            <a:gd name="connsiteY261" fmla="*/ 123868 h 1287498"/>
            <a:gd name="connsiteX262" fmla="*/ 454630 w 593234"/>
            <a:gd name="connsiteY262" fmla="*/ 114198 h 1287498"/>
            <a:gd name="connsiteX263" fmla="*/ 419173 w 593234"/>
            <a:gd name="connsiteY263" fmla="*/ 162549 h 1287498"/>
            <a:gd name="connsiteX264" fmla="*/ 386939 w 593234"/>
            <a:gd name="connsiteY264" fmla="*/ 230239 h 1287498"/>
            <a:gd name="connsiteX265" fmla="*/ 370823 w 593234"/>
            <a:gd name="connsiteY265" fmla="*/ 285036 h 1287498"/>
            <a:gd name="connsiteX266" fmla="*/ 312802 w 593234"/>
            <a:gd name="connsiteY266" fmla="*/ 446203 h 1287498"/>
            <a:gd name="connsiteX267" fmla="*/ 248335 w 593234"/>
            <a:gd name="connsiteY267" fmla="*/ 646051 h 1287498"/>
            <a:gd name="connsiteX268" fmla="*/ 209655 w 593234"/>
            <a:gd name="connsiteY268" fmla="*/ 797549 h 1287498"/>
            <a:gd name="connsiteX269" fmla="*/ 206432 w 593234"/>
            <a:gd name="connsiteY269" fmla="*/ 968386 h 1287498"/>
            <a:gd name="connsiteX270" fmla="*/ 212879 w 593234"/>
            <a:gd name="connsiteY270" fmla="*/ 1013513 h 1287498"/>
            <a:gd name="connsiteX271" fmla="*/ 238665 w 593234"/>
            <a:gd name="connsiteY271" fmla="*/ 1097320 h 1287498"/>
            <a:gd name="connsiteX272" fmla="*/ 251559 w 593234"/>
            <a:gd name="connsiteY272" fmla="*/ 1139224 h 1287498"/>
            <a:gd name="connsiteX273" fmla="*/ 264452 w 593234"/>
            <a:gd name="connsiteY273" fmla="*/ 1181127 h 1287498"/>
            <a:gd name="connsiteX274" fmla="*/ 287016 w 593234"/>
            <a:gd name="connsiteY274" fmla="*/ 1239148 h 1287498"/>
            <a:gd name="connsiteX275" fmla="*/ 293462 w 593234"/>
            <a:gd name="connsiteY275" fmla="*/ 1261711 h 1287498"/>
            <a:gd name="connsiteX276" fmla="*/ 299909 w 593234"/>
            <a:gd name="connsiteY276" fmla="*/ 1277828 h 1287498"/>
            <a:gd name="connsiteX277" fmla="*/ 303132 w 593234"/>
            <a:gd name="connsiteY277" fmla="*/ 1287498 h 1287498"/>
            <a:gd name="connsiteX278" fmla="*/ 299909 w 593234"/>
            <a:gd name="connsiteY278" fmla="*/ 1252041 h 1287498"/>
            <a:gd name="connsiteX279" fmla="*/ 287016 w 593234"/>
            <a:gd name="connsiteY279" fmla="*/ 1206914 h 1287498"/>
            <a:gd name="connsiteX280" fmla="*/ 225772 w 593234"/>
            <a:gd name="connsiteY280" fmla="*/ 1039300 h 1287498"/>
            <a:gd name="connsiteX281" fmla="*/ 193538 w 593234"/>
            <a:gd name="connsiteY281" fmla="*/ 955493 h 1287498"/>
            <a:gd name="connsiteX282" fmla="*/ 154858 w 593234"/>
            <a:gd name="connsiteY282" fmla="*/ 829782 h 1287498"/>
            <a:gd name="connsiteX283" fmla="*/ 138742 w 593234"/>
            <a:gd name="connsiteY283" fmla="*/ 774985 h 1287498"/>
            <a:gd name="connsiteX284" fmla="*/ 138742 w 593234"/>
            <a:gd name="connsiteY284" fmla="*/ 591254 h 1287498"/>
            <a:gd name="connsiteX285" fmla="*/ 174198 w 593234"/>
            <a:gd name="connsiteY285" fmla="*/ 484884 h 1287498"/>
            <a:gd name="connsiteX286" fmla="*/ 238665 w 593234"/>
            <a:gd name="connsiteY286" fmla="*/ 343056 h 1287498"/>
            <a:gd name="connsiteX287" fmla="*/ 299909 w 593234"/>
            <a:gd name="connsiteY287" fmla="*/ 223792 h 1287498"/>
            <a:gd name="connsiteX288" fmla="*/ 312802 w 593234"/>
            <a:gd name="connsiteY288" fmla="*/ 204452 h 1287498"/>
            <a:gd name="connsiteX289" fmla="*/ 322472 w 593234"/>
            <a:gd name="connsiteY289" fmla="*/ 185112 h 1287498"/>
            <a:gd name="connsiteX290" fmla="*/ 341813 w 593234"/>
            <a:gd name="connsiteY290" fmla="*/ 162549 h 1287498"/>
            <a:gd name="connsiteX291" fmla="*/ 351483 w 593234"/>
            <a:gd name="connsiteY291" fmla="*/ 156102 h 1287498"/>
            <a:gd name="connsiteX292" fmla="*/ 383716 w 593234"/>
            <a:gd name="connsiteY292" fmla="*/ 117422 h 1287498"/>
            <a:gd name="connsiteX293" fmla="*/ 393386 w 593234"/>
            <a:gd name="connsiteY293" fmla="*/ 110975 h 1287498"/>
            <a:gd name="connsiteX294" fmla="*/ 380493 w 593234"/>
            <a:gd name="connsiteY294" fmla="*/ 120645 h 1287498"/>
            <a:gd name="connsiteX295" fmla="*/ 354706 w 593234"/>
            <a:gd name="connsiteY295" fmla="*/ 152879 h 1287498"/>
            <a:gd name="connsiteX296" fmla="*/ 283792 w 593234"/>
            <a:gd name="connsiteY296" fmla="*/ 236686 h 1287498"/>
            <a:gd name="connsiteX297" fmla="*/ 245112 w 593234"/>
            <a:gd name="connsiteY297" fmla="*/ 288259 h 1287498"/>
            <a:gd name="connsiteX298" fmla="*/ 103285 w 593234"/>
            <a:gd name="connsiteY298" fmla="*/ 478437 h 1287498"/>
            <a:gd name="connsiteX299" fmla="*/ 25924 w 593234"/>
            <a:gd name="connsiteY299" fmla="*/ 629934 h 1287498"/>
            <a:gd name="connsiteX300" fmla="*/ 16254 w 593234"/>
            <a:gd name="connsiteY300" fmla="*/ 665391 h 1287498"/>
            <a:gd name="connsiteX301" fmla="*/ 9807 w 593234"/>
            <a:gd name="connsiteY301" fmla="*/ 739528 h 1287498"/>
            <a:gd name="connsiteX302" fmla="*/ 3361 w 593234"/>
            <a:gd name="connsiteY302" fmla="*/ 839452 h 1287498"/>
            <a:gd name="connsiteX303" fmla="*/ 9807 w 593234"/>
            <a:gd name="connsiteY303" fmla="*/ 1071533 h 1287498"/>
            <a:gd name="connsiteX304" fmla="*/ 35594 w 593234"/>
            <a:gd name="connsiteY304" fmla="*/ 1145670 h 1287498"/>
            <a:gd name="connsiteX305" fmla="*/ 45264 w 593234"/>
            <a:gd name="connsiteY305" fmla="*/ 1171457 h 1287498"/>
            <a:gd name="connsiteX306" fmla="*/ 54934 w 593234"/>
            <a:gd name="connsiteY306" fmla="*/ 1187574 h 1287498"/>
            <a:gd name="connsiteX307" fmla="*/ 67828 w 593234"/>
            <a:gd name="connsiteY307" fmla="*/ 1206914 h 1287498"/>
            <a:gd name="connsiteX308" fmla="*/ 71051 w 593234"/>
            <a:gd name="connsiteY308" fmla="*/ 1197244 h 1287498"/>
            <a:gd name="connsiteX309" fmla="*/ 61381 w 593234"/>
            <a:gd name="connsiteY309" fmla="*/ 1174681 h 1287498"/>
            <a:gd name="connsiteX310" fmla="*/ 58158 w 593234"/>
            <a:gd name="connsiteY310" fmla="*/ 1165010 h 1287498"/>
            <a:gd name="connsiteX311" fmla="*/ 51711 w 593234"/>
            <a:gd name="connsiteY311" fmla="*/ 1148894 h 1287498"/>
            <a:gd name="connsiteX312" fmla="*/ 16254 w 593234"/>
            <a:gd name="connsiteY312" fmla="*/ 1036076 h 1287498"/>
            <a:gd name="connsiteX313" fmla="*/ 137 w 593234"/>
            <a:gd name="connsiteY313" fmla="*/ 842675 h 1287498"/>
            <a:gd name="connsiteX314" fmla="*/ 3361 w 593234"/>
            <a:gd name="connsiteY314" fmla="*/ 636381 h 1287498"/>
            <a:gd name="connsiteX315" fmla="*/ 6584 w 593234"/>
            <a:gd name="connsiteY315" fmla="*/ 591254 h 1287498"/>
            <a:gd name="connsiteX316" fmla="*/ 77498 w 593234"/>
            <a:gd name="connsiteY316" fmla="*/ 384960 h 1287498"/>
            <a:gd name="connsiteX317" fmla="*/ 141965 w 593234"/>
            <a:gd name="connsiteY317" fmla="*/ 246356 h 1287498"/>
            <a:gd name="connsiteX318" fmla="*/ 161305 w 593234"/>
            <a:gd name="connsiteY318" fmla="*/ 210899 h 1287498"/>
            <a:gd name="connsiteX319" fmla="*/ 174198 w 593234"/>
            <a:gd name="connsiteY319" fmla="*/ 178665 h 1287498"/>
            <a:gd name="connsiteX320" fmla="*/ 190315 w 593234"/>
            <a:gd name="connsiteY320" fmla="*/ 152879 h 1287498"/>
            <a:gd name="connsiteX321" fmla="*/ 203209 w 593234"/>
            <a:gd name="connsiteY321" fmla="*/ 127092 h 1287498"/>
            <a:gd name="connsiteX322" fmla="*/ 222549 w 593234"/>
            <a:gd name="connsiteY322" fmla="*/ 101305 h 1287498"/>
            <a:gd name="connsiteX323" fmla="*/ 235442 w 593234"/>
            <a:gd name="connsiteY323" fmla="*/ 81965 h 1287498"/>
            <a:gd name="connsiteX324" fmla="*/ 248335 w 593234"/>
            <a:gd name="connsiteY324" fmla="*/ 69071 h 1287498"/>
            <a:gd name="connsiteX325" fmla="*/ 254782 w 593234"/>
            <a:gd name="connsiteY325" fmla="*/ 59401 h 1287498"/>
            <a:gd name="connsiteX326" fmla="*/ 293462 w 593234"/>
            <a:gd name="connsiteY326" fmla="*/ 40061 h 1287498"/>
            <a:gd name="connsiteX327" fmla="*/ 309579 w 593234"/>
            <a:gd name="connsiteY327" fmla="*/ 30391 h 1287498"/>
            <a:gd name="connsiteX328" fmla="*/ 328919 w 593234"/>
            <a:gd name="connsiteY328" fmla="*/ 23945 h 1287498"/>
            <a:gd name="connsiteX329" fmla="*/ 328919 w 593234"/>
            <a:gd name="connsiteY329" fmla="*/ 40061 h 12874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</a:cxnLst>
          <a:rect l="l" t="t" r="r" b="b"/>
          <a:pathLst>
            <a:path w="593234" h="1287498">
              <a:moveTo>
                <a:pt x="499757" y="49731"/>
              </a:moveTo>
              <a:cubicBezTo>
                <a:pt x="458484" y="76437"/>
                <a:pt x="415523" y="101732"/>
                <a:pt x="380493" y="136762"/>
              </a:cubicBezTo>
              <a:cubicBezTo>
                <a:pt x="372417" y="144838"/>
                <a:pt x="365132" y="153685"/>
                <a:pt x="357929" y="162549"/>
              </a:cubicBezTo>
              <a:cubicBezTo>
                <a:pt x="351154" y="170888"/>
                <a:pt x="344283" y="179224"/>
                <a:pt x="338589" y="188335"/>
              </a:cubicBezTo>
              <a:cubicBezTo>
                <a:pt x="320126" y="217877"/>
                <a:pt x="309148" y="238653"/>
                <a:pt x="296686" y="268919"/>
              </a:cubicBezTo>
              <a:cubicBezTo>
                <a:pt x="292650" y="278720"/>
                <a:pt x="279689" y="314344"/>
                <a:pt x="277346" y="323716"/>
              </a:cubicBezTo>
              <a:cubicBezTo>
                <a:pt x="274432" y="335370"/>
                <a:pt x="273576" y="347462"/>
                <a:pt x="270899" y="359173"/>
              </a:cubicBezTo>
              <a:cubicBezTo>
                <a:pt x="264976" y="385085"/>
                <a:pt x="257841" y="410706"/>
                <a:pt x="251559" y="436533"/>
              </a:cubicBezTo>
              <a:cubicBezTo>
                <a:pt x="248171" y="450462"/>
                <a:pt x="244069" y="464269"/>
                <a:pt x="241889" y="478437"/>
              </a:cubicBezTo>
              <a:lnTo>
                <a:pt x="235442" y="520340"/>
              </a:lnTo>
              <a:cubicBezTo>
                <a:pt x="234368" y="534308"/>
                <a:pt x="233382" y="548283"/>
                <a:pt x="232219" y="562244"/>
              </a:cubicBezTo>
              <a:cubicBezTo>
                <a:pt x="231233" y="574071"/>
                <a:pt x="229672" y="585853"/>
                <a:pt x="228995" y="597701"/>
              </a:cubicBezTo>
              <a:cubicBezTo>
                <a:pt x="227523" y="623468"/>
                <a:pt x="226846" y="649274"/>
                <a:pt x="225772" y="675061"/>
              </a:cubicBezTo>
              <a:cubicBezTo>
                <a:pt x="226846" y="702997"/>
                <a:pt x="227195" y="730970"/>
                <a:pt x="228995" y="758868"/>
              </a:cubicBezTo>
              <a:cubicBezTo>
                <a:pt x="229348" y="764335"/>
                <a:pt x="230486" y="769787"/>
                <a:pt x="232219" y="774985"/>
              </a:cubicBezTo>
              <a:cubicBezTo>
                <a:pt x="235878" y="785963"/>
                <a:pt x="241453" y="796241"/>
                <a:pt x="245112" y="807219"/>
              </a:cubicBezTo>
              <a:cubicBezTo>
                <a:pt x="249862" y="821469"/>
                <a:pt x="260381" y="851162"/>
                <a:pt x="264452" y="868462"/>
              </a:cubicBezTo>
              <a:cubicBezTo>
                <a:pt x="266962" y="879128"/>
                <a:pt x="268939" y="889915"/>
                <a:pt x="270899" y="900696"/>
              </a:cubicBezTo>
              <a:cubicBezTo>
                <a:pt x="275386" y="925375"/>
                <a:pt x="277708" y="950499"/>
                <a:pt x="283792" y="974833"/>
              </a:cubicBezTo>
              <a:cubicBezTo>
                <a:pt x="285941" y="983429"/>
                <a:pt x="288383" y="991956"/>
                <a:pt x="290239" y="1000620"/>
              </a:cubicBezTo>
              <a:cubicBezTo>
                <a:pt x="298367" y="1038552"/>
                <a:pt x="287513" y="1003930"/>
                <a:pt x="299909" y="1032853"/>
              </a:cubicBezTo>
              <a:cubicBezTo>
                <a:pt x="301247" y="1035976"/>
                <a:pt x="304651" y="1045562"/>
                <a:pt x="303132" y="1042523"/>
              </a:cubicBezTo>
              <a:cubicBezTo>
                <a:pt x="300545" y="1037348"/>
                <a:pt x="299111" y="1031660"/>
                <a:pt x="296686" y="1026406"/>
              </a:cubicBezTo>
              <a:cubicBezTo>
                <a:pt x="292659" y="1017681"/>
                <a:pt x="287662" y="1009416"/>
                <a:pt x="283792" y="1000620"/>
              </a:cubicBezTo>
              <a:cubicBezTo>
                <a:pt x="275836" y="982539"/>
                <a:pt x="261229" y="945823"/>
                <a:pt x="261229" y="945823"/>
              </a:cubicBezTo>
              <a:cubicBezTo>
                <a:pt x="259080" y="927557"/>
                <a:pt x="257121" y="909268"/>
                <a:pt x="254782" y="891026"/>
              </a:cubicBezTo>
              <a:cubicBezTo>
                <a:pt x="251748" y="867363"/>
                <a:pt x="247272" y="843871"/>
                <a:pt x="245112" y="820112"/>
              </a:cubicBezTo>
              <a:cubicBezTo>
                <a:pt x="242970" y="796547"/>
                <a:pt x="243166" y="772826"/>
                <a:pt x="241889" y="749198"/>
              </a:cubicBezTo>
              <a:cubicBezTo>
                <a:pt x="241017" y="733069"/>
                <a:pt x="239740" y="716965"/>
                <a:pt x="238665" y="700848"/>
              </a:cubicBezTo>
              <a:cubicBezTo>
                <a:pt x="239740" y="675061"/>
                <a:pt x="238586" y="649085"/>
                <a:pt x="241889" y="623488"/>
              </a:cubicBezTo>
              <a:cubicBezTo>
                <a:pt x="242936" y="615372"/>
                <a:pt x="248485" y="608507"/>
                <a:pt x="251559" y="600924"/>
              </a:cubicBezTo>
              <a:cubicBezTo>
                <a:pt x="273352" y="547167"/>
                <a:pt x="292120" y="502967"/>
                <a:pt x="309579" y="449427"/>
              </a:cubicBezTo>
              <a:cubicBezTo>
                <a:pt x="319693" y="418409"/>
                <a:pt x="327134" y="386498"/>
                <a:pt x="338589" y="355950"/>
              </a:cubicBezTo>
              <a:cubicBezTo>
                <a:pt x="341812" y="347354"/>
                <a:pt x="345356" y="338872"/>
                <a:pt x="348259" y="330163"/>
              </a:cubicBezTo>
              <a:cubicBezTo>
                <a:pt x="356579" y="305202"/>
                <a:pt x="351591" y="312520"/>
                <a:pt x="361153" y="291483"/>
              </a:cubicBezTo>
              <a:cubicBezTo>
                <a:pt x="366758" y="279151"/>
                <a:pt x="376787" y="260665"/>
                <a:pt x="383716" y="249579"/>
              </a:cubicBezTo>
              <a:cubicBezTo>
                <a:pt x="389876" y="239724"/>
                <a:pt x="396838" y="230387"/>
                <a:pt x="403056" y="220569"/>
              </a:cubicBezTo>
              <a:cubicBezTo>
                <a:pt x="417255" y="198150"/>
                <a:pt x="431950" y="176008"/>
                <a:pt x="444960" y="152879"/>
              </a:cubicBezTo>
              <a:cubicBezTo>
                <a:pt x="454630" y="135688"/>
                <a:pt x="465148" y="118947"/>
                <a:pt x="473970" y="101305"/>
              </a:cubicBezTo>
              <a:cubicBezTo>
                <a:pt x="475868" y="97509"/>
                <a:pt x="482817" y="82282"/>
                <a:pt x="486863" y="78741"/>
              </a:cubicBezTo>
              <a:cubicBezTo>
                <a:pt x="492694" y="73639"/>
                <a:pt x="500005" y="70497"/>
                <a:pt x="506203" y="65848"/>
              </a:cubicBezTo>
              <a:cubicBezTo>
                <a:pt x="528393" y="49206"/>
                <a:pt x="514630" y="59156"/>
                <a:pt x="548107" y="36838"/>
              </a:cubicBezTo>
              <a:cubicBezTo>
                <a:pt x="554554" y="32540"/>
                <a:pt x="561969" y="29424"/>
                <a:pt x="567447" y="23945"/>
              </a:cubicBezTo>
              <a:cubicBezTo>
                <a:pt x="571745" y="19647"/>
                <a:pt x="575766" y="15053"/>
                <a:pt x="580340" y="11051"/>
              </a:cubicBezTo>
              <a:cubicBezTo>
                <a:pt x="584383" y="7513"/>
                <a:pt x="593234" y="6753"/>
                <a:pt x="593234" y="1381"/>
              </a:cubicBezTo>
              <a:cubicBezTo>
                <a:pt x="593234" y="-3424"/>
                <a:pt x="584638" y="5679"/>
                <a:pt x="580340" y="7828"/>
              </a:cubicBezTo>
              <a:cubicBezTo>
                <a:pt x="579266" y="11051"/>
                <a:pt x="578767" y="14528"/>
                <a:pt x="577117" y="17498"/>
              </a:cubicBezTo>
              <a:cubicBezTo>
                <a:pt x="573354" y="24271"/>
                <a:pt x="564224" y="36838"/>
                <a:pt x="564224" y="36838"/>
              </a:cubicBezTo>
              <a:cubicBezTo>
                <a:pt x="563149" y="44359"/>
                <a:pt x="564398" y="52606"/>
                <a:pt x="561000" y="59401"/>
              </a:cubicBezTo>
              <a:cubicBezTo>
                <a:pt x="559480" y="62440"/>
                <a:pt x="554453" y="61287"/>
                <a:pt x="551330" y="62625"/>
              </a:cubicBezTo>
              <a:cubicBezTo>
                <a:pt x="546914" y="64518"/>
                <a:pt x="542402" y="66358"/>
                <a:pt x="538437" y="69071"/>
              </a:cubicBezTo>
              <a:cubicBezTo>
                <a:pt x="521942" y="80357"/>
                <a:pt x="506076" y="92536"/>
                <a:pt x="490087" y="104528"/>
              </a:cubicBezTo>
              <a:cubicBezTo>
                <a:pt x="459698" y="127320"/>
                <a:pt x="457436" y="128189"/>
                <a:pt x="432066" y="159325"/>
              </a:cubicBezTo>
              <a:cubicBezTo>
                <a:pt x="417541" y="177151"/>
                <a:pt x="404076" y="195815"/>
                <a:pt x="390163" y="214122"/>
              </a:cubicBezTo>
              <a:cubicBezTo>
                <a:pt x="383662" y="222676"/>
                <a:pt x="377816" y="231751"/>
                <a:pt x="370823" y="239909"/>
              </a:cubicBezTo>
              <a:cubicBezTo>
                <a:pt x="339204" y="276797"/>
                <a:pt x="359218" y="251881"/>
                <a:pt x="322472" y="304376"/>
              </a:cubicBezTo>
              <a:cubicBezTo>
                <a:pt x="317172" y="311948"/>
                <a:pt x="310631" y="318745"/>
                <a:pt x="306356" y="326939"/>
              </a:cubicBezTo>
              <a:cubicBezTo>
                <a:pt x="293463" y="351651"/>
                <a:pt x="277738" y="375082"/>
                <a:pt x="267676" y="401076"/>
              </a:cubicBezTo>
              <a:cubicBezTo>
                <a:pt x="221749" y="519719"/>
                <a:pt x="238554" y="466586"/>
                <a:pt x="212879" y="559021"/>
              </a:cubicBezTo>
              <a:cubicBezTo>
                <a:pt x="208581" y="592329"/>
                <a:pt x="201901" y="625416"/>
                <a:pt x="199985" y="658945"/>
              </a:cubicBezTo>
              <a:lnTo>
                <a:pt x="193538" y="771762"/>
              </a:lnTo>
              <a:cubicBezTo>
                <a:pt x="194613" y="839452"/>
                <a:pt x="193007" y="907238"/>
                <a:pt x="196762" y="974833"/>
              </a:cubicBezTo>
              <a:cubicBezTo>
                <a:pt x="197327" y="985010"/>
                <a:pt x="203040" y="994231"/>
                <a:pt x="206432" y="1003843"/>
              </a:cubicBezTo>
              <a:cubicBezTo>
                <a:pt x="209487" y="1012500"/>
                <a:pt x="213014" y="1020985"/>
                <a:pt x="216102" y="1029630"/>
              </a:cubicBezTo>
              <a:cubicBezTo>
                <a:pt x="218388" y="1036030"/>
                <a:pt x="220227" y="1042584"/>
                <a:pt x="222549" y="1048970"/>
              </a:cubicBezTo>
              <a:cubicBezTo>
                <a:pt x="224526" y="1054408"/>
                <a:pt x="226963" y="1059669"/>
                <a:pt x="228995" y="1065087"/>
              </a:cubicBezTo>
              <a:cubicBezTo>
                <a:pt x="230188" y="1068268"/>
                <a:pt x="234104" y="1077584"/>
                <a:pt x="232219" y="1074757"/>
              </a:cubicBezTo>
              <a:lnTo>
                <a:pt x="225772" y="1065087"/>
              </a:lnTo>
              <a:cubicBezTo>
                <a:pt x="224698" y="1061864"/>
                <a:pt x="223887" y="1058540"/>
                <a:pt x="222549" y="1055417"/>
              </a:cubicBezTo>
              <a:cubicBezTo>
                <a:pt x="208475" y="1022576"/>
                <a:pt x="180585" y="997278"/>
                <a:pt x="164528" y="965163"/>
              </a:cubicBezTo>
              <a:cubicBezTo>
                <a:pt x="141214" y="918536"/>
                <a:pt x="139205" y="899878"/>
                <a:pt x="125848" y="849122"/>
              </a:cubicBezTo>
              <a:cubicBezTo>
                <a:pt x="123699" y="827633"/>
                <a:pt x="121101" y="806184"/>
                <a:pt x="119401" y="784655"/>
              </a:cubicBezTo>
              <a:cubicBezTo>
                <a:pt x="115686" y="737595"/>
                <a:pt x="114269" y="665536"/>
                <a:pt x="112955" y="623488"/>
              </a:cubicBezTo>
              <a:cubicBezTo>
                <a:pt x="114029" y="570840"/>
                <a:pt x="110291" y="517872"/>
                <a:pt x="116178" y="465543"/>
              </a:cubicBezTo>
              <a:cubicBezTo>
                <a:pt x="120024" y="431360"/>
                <a:pt x="130018" y="397878"/>
                <a:pt x="141965" y="365620"/>
              </a:cubicBezTo>
              <a:cubicBezTo>
                <a:pt x="162955" y="308945"/>
                <a:pt x="164892" y="294029"/>
                <a:pt x="187092" y="252802"/>
              </a:cubicBezTo>
              <a:cubicBezTo>
                <a:pt x="190062" y="247286"/>
                <a:pt x="193442" y="241999"/>
                <a:pt x="196762" y="236686"/>
              </a:cubicBezTo>
              <a:cubicBezTo>
                <a:pt x="198815" y="233401"/>
                <a:pt x="201287" y="230380"/>
                <a:pt x="203209" y="227016"/>
              </a:cubicBezTo>
              <a:cubicBezTo>
                <a:pt x="205593" y="222844"/>
                <a:pt x="206463" y="217713"/>
                <a:pt x="209655" y="214122"/>
              </a:cubicBezTo>
              <a:cubicBezTo>
                <a:pt x="223788" y="198222"/>
                <a:pt x="239740" y="184037"/>
                <a:pt x="254782" y="168995"/>
              </a:cubicBezTo>
              <a:lnTo>
                <a:pt x="325696" y="98082"/>
              </a:lnTo>
              <a:cubicBezTo>
                <a:pt x="344067" y="79711"/>
                <a:pt x="346453" y="74373"/>
                <a:pt x="367599" y="62625"/>
              </a:cubicBezTo>
              <a:cubicBezTo>
                <a:pt x="370569" y="60975"/>
                <a:pt x="374002" y="60334"/>
                <a:pt x="377269" y="59401"/>
              </a:cubicBezTo>
              <a:cubicBezTo>
                <a:pt x="411507" y="49618"/>
                <a:pt x="365504" y="64558"/>
                <a:pt x="406280" y="49731"/>
              </a:cubicBezTo>
              <a:cubicBezTo>
                <a:pt x="412666" y="47409"/>
                <a:pt x="419311" y="45809"/>
                <a:pt x="425620" y="43285"/>
              </a:cubicBezTo>
              <a:cubicBezTo>
                <a:pt x="430081" y="41500"/>
                <a:pt x="434052" y="38623"/>
                <a:pt x="438513" y="36838"/>
              </a:cubicBezTo>
              <a:cubicBezTo>
                <a:pt x="444822" y="34314"/>
                <a:pt x="464445" y="28743"/>
                <a:pt x="457853" y="30391"/>
              </a:cubicBezTo>
              <a:cubicBezTo>
                <a:pt x="441664" y="34439"/>
                <a:pt x="449163" y="32214"/>
                <a:pt x="435290" y="36838"/>
              </a:cubicBezTo>
              <a:cubicBezTo>
                <a:pt x="425546" y="43334"/>
                <a:pt x="420541" y="45758"/>
                <a:pt x="412726" y="56178"/>
              </a:cubicBezTo>
              <a:cubicBezTo>
                <a:pt x="409843" y="60022"/>
                <a:pt x="409024" y="65127"/>
                <a:pt x="406280" y="69071"/>
              </a:cubicBezTo>
              <a:cubicBezTo>
                <a:pt x="391799" y="89888"/>
                <a:pt x="377087" y="110588"/>
                <a:pt x="361153" y="130315"/>
              </a:cubicBezTo>
              <a:cubicBezTo>
                <a:pt x="340762" y="155561"/>
                <a:pt x="278711" y="227981"/>
                <a:pt x="258005" y="265696"/>
              </a:cubicBezTo>
              <a:cubicBezTo>
                <a:pt x="237885" y="302343"/>
                <a:pt x="217889" y="339368"/>
                <a:pt x="203209" y="378513"/>
              </a:cubicBezTo>
              <a:cubicBezTo>
                <a:pt x="175289" y="452963"/>
                <a:pt x="173720" y="453170"/>
                <a:pt x="151635" y="526787"/>
              </a:cubicBezTo>
              <a:cubicBezTo>
                <a:pt x="145867" y="546013"/>
                <a:pt x="140115" y="565268"/>
                <a:pt x="135518" y="584807"/>
              </a:cubicBezTo>
              <a:cubicBezTo>
                <a:pt x="131512" y="601833"/>
                <a:pt x="129071" y="619190"/>
                <a:pt x="125848" y="636381"/>
              </a:cubicBezTo>
              <a:cubicBezTo>
                <a:pt x="125044" y="647634"/>
                <a:pt x="119401" y="724772"/>
                <a:pt x="119401" y="733082"/>
              </a:cubicBezTo>
              <a:cubicBezTo>
                <a:pt x="119401" y="862020"/>
                <a:pt x="120641" y="990961"/>
                <a:pt x="122625" y="1119884"/>
              </a:cubicBezTo>
              <a:cubicBezTo>
                <a:pt x="122805" y="1131604"/>
                <a:pt x="126994" y="1161181"/>
                <a:pt x="129071" y="1174681"/>
              </a:cubicBezTo>
              <a:cubicBezTo>
                <a:pt x="130065" y="1181141"/>
                <a:pt x="130710" y="1187681"/>
                <a:pt x="132295" y="1194021"/>
              </a:cubicBezTo>
              <a:cubicBezTo>
                <a:pt x="133943" y="1200613"/>
                <a:pt x="138742" y="1213361"/>
                <a:pt x="138742" y="1213361"/>
              </a:cubicBezTo>
              <a:cubicBezTo>
                <a:pt x="136593" y="1196170"/>
                <a:pt x="133964" y="1179032"/>
                <a:pt x="132295" y="1161787"/>
              </a:cubicBezTo>
              <a:cubicBezTo>
                <a:pt x="130739" y="1145710"/>
                <a:pt x="130376" y="1129537"/>
                <a:pt x="129071" y="1113437"/>
              </a:cubicBezTo>
              <a:cubicBezTo>
                <a:pt x="127153" y="1089779"/>
                <a:pt x="124774" y="1066161"/>
                <a:pt x="122625" y="1042523"/>
              </a:cubicBezTo>
              <a:cubicBezTo>
                <a:pt x="119142" y="955473"/>
                <a:pt x="113793" y="873055"/>
                <a:pt x="125848" y="784655"/>
              </a:cubicBezTo>
              <a:cubicBezTo>
                <a:pt x="129094" y="760848"/>
                <a:pt x="169403" y="645818"/>
                <a:pt x="180645" y="610594"/>
              </a:cubicBezTo>
              <a:cubicBezTo>
                <a:pt x="192713" y="572781"/>
                <a:pt x="217382" y="487581"/>
                <a:pt x="232219" y="449427"/>
              </a:cubicBezTo>
              <a:cubicBezTo>
                <a:pt x="239740" y="430087"/>
                <a:pt x="246406" y="410392"/>
                <a:pt x="254782" y="391406"/>
              </a:cubicBezTo>
              <a:cubicBezTo>
                <a:pt x="274610" y="346463"/>
                <a:pt x="286231" y="330014"/>
                <a:pt x="312802" y="288259"/>
              </a:cubicBezTo>
              <a:cubicBezTo>
                <a:pt x="316962" y="281722"/>
                <a:pt x="321398" y="275366"/>
                <a:pt x="325696" y="268919"/>
              </a:cubicBezTo>
              <a:cubicBezTo>
                <a:pt x="329994" y="262472"/>
                <a:pt x="333940" y="255777"/>
                <a:pt x="338589" y="249579"/>
              </a:cubicBezTo>
              <a:cubicBezTo>
                <a:pt x="341812" y="245281"/>
                <a:pt x="345136" y="241057"/>
                <a:pt x="348259" y="236686"/>
              </a:cubicBezTo>
              <a:cubicBezTo>
                <a:pt x="350511" y="233534"/>
                <a:pt x="351967" y="229755"/>
                <a:pt x="354706" y="227016"/>
              </a:cubicBezTo>
              <a:cubicBezTo>
                <a:pt x="360621" y="221101"/>
                <a:pt x="370527" y="218336"/>
                <a:pt x="377269" y="214122"/>
              </a:cubicBezTo>
              <a:cubicBezTo>
                <a:pt x="388405" y="207162"/>
                <a:pt x="397446" y="197972"/>
                <a:pt x="406280" y="188335"/>
              </a:cubicBezTo>
              <a:cubicBezTo>
                <a:pt x="417398" y="176206"/>
                <a:pt x="438413" y="148647"/>
                <a:pt x="451406" y="139985"/>
              </a:cubicBezTo>
              <a:cubicBezTo>
                <a:pt x="454630" y="137836"/>
                <a:pt x="458181" y="136112"/>
                <a:pt x="461077" y="133538"/>
              </a:cubicBezTo>
              <a:cubicBezTo>
                <a:pt x="467891" y="127481"/>
                <a:pt x="472262" y="118275"/>
                <a:pt x="480417" y="114198"/>
              </a:cubicBezTo>
              <a:cubicBezTo>
                <a:pt x="484715" y="112049"/>
                <a:pt x="489138" y="110136"/>
                <a:pt x="493310" y="107752"/>
              </a:cubicBezTo>
              <a:cubicBezTo>
                <a:pt x="496674" y="105830"/>
                <a:pt x="499515" y="103038"/>
                <a:pt x="502980" y="101305"/>
              </a:cubicBezTo>
              <a:cubicBezTo>
                <a:pt x="506019" y="99786"/>
                <a:pt x="509469" y="99275"/>
                <a:pt x="512650" y="98082"/>
              </a:cubicBezTo>
              <a:cubicBezTo>
                <a:pt x="518068" y="96050"/>
                <a:pt x="523592" y="94223"/>
                <a:pt x="528767" y="91635"/>
              </a:cubicBezTo>
              <a:cubicBezTo>
                <a:pt x="532232" y="89902"/>
                <a:pt x="534876" y="86714"/>
                <a:pt x="538437" y="85188"/>
              </a:cubicBezTo>
              <a:cubicBezTo>
                <a:pt x="552921" y="78981"/>
                <a:pt x="548436" y="85023"/>
                <a:pt x="561000" y="78741"/>
              </a:cubicBezTo>
              <a:cubicBezTo>
                <a:pt x="564465" y="77009"/>
                <a:pt x="567447" y="74444"/>
                <a:pt x="570670" y="72295"/>
              </a:cubicBezTo>
              <a:cubicBezTo>
                <a:pt x="567447" y="71220"/>
                <a:pt x="564352" y="68512"/>
                <a:pt x="561000" y="69071"/>
              </a:cubicBezTo>
              <a:cubicBezTo>
                <a:pt x="557179" y="69708"/>
                <a:pt x="554795" y="73785"/>
                <a:pt x="551330" y="75518"/>
              </a:cubicBezTo>
              <a:cubicBezTo>
                <a:pt x="546183" y="78091"/>
                <a:pt x="533579" y="80590"/>
                <a:pt x="528767" y="81965"/>
              </a:cubicBezTo>
              <a:cubicBezTo>
                <a:pt x="525500" y="82898"/>
                <a:pt x="522320" y="84114"/>
                <a:pt x="519097" y="85188"/>
              </a:cubicBezTo>
              <a:cubicBezTo>
                <a:pt x="476916" y="116822"/>
                <a:pt x="529557" y="77716"/>
                <a:pt x="496533" y="101305"/>
              </a:cubicBezTo>
              <a:cubicBezTo>
                <a:pt x="492162" y="104428"/>
                <a:pt x="488041" y="107894"/>
                <a:pt x="483640" y="110975"/>
              </a:cubicBezTo>
              <a:cubicBezTo>
                <a:pt x="477293" y="115418"/>
                <a:pt x="470622" y="119390"/>
                <a:pt x="464300" y="123868"/>
              </a:cubicBezTo>
              <a:cubicBezTo>
                <a:pt x="444832" y="137658"/>
                <a:pt x="423149" y="148903"/>
                <a:pt x="406280" y="165772"/>
              </a:cubicBezTo>
              <a:cubicBezTo>
                <a:pt x="343630" y="228422"/>
                <a:pt x="324769" y="243392"/>
                <a:pt x="264452" y="336609"/>
              </a:cubicBezTo>
              <a:cubicBezTo>
                <a:pt x="236395" y="379969"/>
                <a:pt x="192901" y="438342"/>
                <a:pt x="170975" y="491330"/>
              </a:cubicBezTo>
              <a:cubicBezTo>
                <a:pt x="164479" y="507028"/>
                <a:pt x="159652" y="523383"/>
                <a:pt x="154858" y="539681"/>
              </a:cubicBezTo>
              <a:cubicBezTo>
                <a:pt x="136190" y="603154"/>
                <a:pt x="137807" y="606301"/>
                <a:pt x="125848" y="675061"/>
              </a:cubicBezTo>
              <a:cubicBezTo>
                <a:pt x="123543" y="707331"/>
                <a:pt x="115869" y="802970"/>
                <a:pt x="116178" y="839452"/>
              </a:cubicBezTo>
              <a:cubicBezTo>
                <a:pt x="117043" y="941544"/>
                <a:pt x="118031" y="1043678"/>
                <a:pt x="122625" y="1145670"/>
              </a:cubicBezTo>
              <a:cubicBezTo>
                <a:pt x="123412" y="1163143"/>
                <a:pt x="128289" y="1180218"/>
                <a:pt x="132295" y="1197244"/>
              </a:cubicBezTo>
              <a:cubicBezTo>
                <a:pt x="136892" y="1216783"/>
                <a:pt x="140958" y="1236627"/>
                <a:pt x="148412" y="1255264"/>
              </a:cubicBezTo>
              <a:cubicBezTo>
                <a:pt x="150561" y="1260636"/>
                <a:pt x="152826" y="1265963"/>
                <a:pt x="154858" y="1271381"/>
              </a:cubicBezTo>
              <a:cubicBezTo>
                <a:pt x="156051" y="1274562"/>
                <a:pt x="155959" y="1278398"/>
                <a:pt x="158082" y="1281051"/>
              </a:cubicBezTo>
              <a:cubicBezTo>
                <a:pt x="160502" y="1284076"/>
                <a:pt x="164529" y="1285349"/>
                <a:pt x="167752" y="1287498"/>
              </a:cubicBezTo>
              <a:cubicBezTo>
                <a:pt x="165603" y="1281051"/>
                <a:pt x="163258" y="1274667"/>
                <a:pt x="161305" y="1268158"/>
              </a:cubicBezTo>
              <a:cubicBezTo>
                <a:pt x="158575" y="1259057"/>
                <a:pt x="158473" y="1254030"/>
                <a:pt x="154858" y="1245594"/>
              </a:cubicBezTo>
              <a:cubicBezTo>
                <a:pt x="152965" y="1241178"/>
                <a:pt x="150305" y="1237117"/>
                <a:pt x="148412" y="1232701"/>
              </a:cubicBezTo>
              <a:cubicBezTo>
                <a:pt x="147074" y="1229578"/>
                <a:pt x="146989" y="1225912"/>
                <a:pt x="145188" y="1223031"/>
              </a:cubicBezTo>
              <a:cubicBezTo>
                <a:pt x="141542" y="1217197"/>
                <a:pt x="135372" y="1213068"/>
                <a:pt x="132295" y="1206914"/>
              </a:cubicBezTo>
              <a:cubicBezTo>
                <a:pt x="121317" y="1184957"/>
                <a:pt x="113046" y="1161748"/>
                <a:pt x="103285" y="1139224"/>
              </a:cubicBezTo>
              <a:cubicBezTo>
                <a:pt x="99077" y="1129514"/>
                <a:pt x="94633" y="1119909"/>
                <a:pt x="90391" y="1110214"/>
              </a:cubicBezTo>
              <a:cubicBezTo>
                <a:pt x="87111" y="1102717"/>
                <a:pt x="82969" y="1095518"/>
                <a:pt x="80721" y="1087650"/>
              </a:cubicBezTo>
              <a:cubicBezTo>
                <a:pt x="71752" y="1056260"/>
                <a:pt x="77020" y="1072411"/>
                <a:pt x="64604" y="1039300"/>
              </a:cubicBezTo>
              <a:cubicBezTo>
                <a:pt x="63530" y="1027481"/>
                <a:pt x="61381" y="1015711"/>
                <a:pt x="61381" y="1003843"/>
              </a:cubicBezTo>
              <a:cubicBezTo>
                <a:pt x="61381" y="961926"/>
                <a:pt x="62511" y="919997"/>
                <a:pt x="64604" y="878132"/>
              </a:cubicBezTo>
              <a:cubicBezTo>
                <a:pt x="67049" y="829223"/>
                <a:pt x="73500" y="794113"/>
                <a:pt x="80721" y="745975"/>
              </a:cubicBezTo>
              <a:cubicBezTo>
                <a:pt x="81796" y="729858"/>
                <a:pt x="82706" y="713730"/>
                <a:pt x="83945" y="697625"/>
              </a:cubicBezTo>
              <a:cubicBezTo>
                <a:pt x="84855" y="685792"/>
                <a:pt x="86629" y="674023"/>
                <a:pt x="87168" y="662168"/>
              </a:cubicBezTo>
              <a:cubicBezTo>
                <a:pt x="94758" y="495177"/>
                <a:pt x="85995" y="608541"/>
                <a:pt x="93615" y="517117"/>
              </a:cubicBezTo>
              <a:cubicBezTo>
                <a:pt x="94689" y="476288"/>
                <a:pt x="95354" y="435446"/>
                <a:pt x="96838" y="394630"/>
              </a:cubicBezTo>
              <a:cubicBezTo>
                <a:pt x="97155" y="385902"/>
                <a:pt x="100741" y="320490"/>
                <a:pt x="103285" y="304376"/>
              </a:cubicBezTo>
              <a:cubicBezTo>
                <a:pt x="104667" y="295624"/>
                <a:pt x="107875" y="287252"/>
                <a:pt x="109731" y="278589"/>
              </a:cubicBezTo>
              <a:cubicBezTo>
                <a:pt x="113148" y="262641"/>
                <a:pt x="113713" y="245678"/>
                <a:pt x="119401" y="230239"/>
              </a:cubicBezTo>
              <a:cubicBezTo>
                <a:pt x="123554" y="218967"/>
                <a:pt x="129515" y="208410"/>
                <a:pt x="135518" y="198005"/>
              </a:cubicBezTo>
              <a:cubicBezTo>
                <a:pt x="170788" y="136871"/>
                <a:pt x="174213" y="139234"/>
                <a:pt x="222549" y="75518"/>
              </a:cubicBezTo>
              <a:cubicBezTo>
                <a:pt x="228135" y="68155"/>
                <a:pt x="233365" y="60527"/>
                <a:pt x="238665" y="52955"/>
              </a:cubicBezTo>
              <a:cubicBezTo>
                <a:pt x="240887" y="49781"/>
                <a:pt x="245112" y="43285"/>
                <a:pt x="245112" y="43285"/>
              </a:cubicBezTo>
              <a:lnTo>
                <a:pt x="264452" y="46508"/>
              </a:lnTo>
              <a:cubicBezTo>
                <a:pt x="269842" y="47488"/>
                <a:pt x="275097" y="50005"/>
                <a:pt x="280569" y="49731"/>
              </a:cubicBezTo>
              <a:cubicBezTo>
                <a:pt x="296808" y="48919"/>
                <a:pt x="312802" y="45434"/>
                <a:pt x="328919" y="43285"/>
              </a:cubicBezTo>
              <a:cubicBezTo>
                <a:pt x="336440" y="40062"/>
                <a:pt x="344164" y="37275"/>
                <a:pt x="351483" y="33615"/>
              </a:cubicBezTo>
              <a:cubicBezTo>
                <a:pt x="357086" y="30813"/>
                <a:pt x="361896" y="26537"/>
                <a:pt x="367599" y="23945"/>
              </a:cubicBezTo>
              <a:cubicBezTo>
                <a:pt x="373785" y="21133"/>
                <a:pt x="386939" y="17498"/>
                <a:pt x="386939" y="17498"/>
              </a:cubicBezTo>
              <a:cubicBezTo>
                <a:pt x="434447" y="23436"/>
                <a:pt x="407729" y="18234"/>
                <a:pt x="377269" y="23945"/>
              </a:cubicBezTo>
              <a:cubicBezTo>
                <a:pt x="371582" y="25011"/>
                <a:pt x="366525" y="28242"/>
                <a:pt x="361153" y="30391"/>
              </a:cubicBezTo>
              <a:cubicBezTo>
                <a:pt x="355781" y="34689"/>
                <a:pt x="350013" y="38534"/>
                <a:pt x="345036" y="43285"/>
              </a:cubicBezTo>
              <a:cubicBezTo>
                <a:pt x="264695" y="119974"/>
                <a:pt x="288875" y="103646"/>
                <a:pt x="193538" y="210899"/>
              </a:cubicBezTo>
              <a:cubicBezTo>
                <a:pt x="143888" y="266754"/>
                <a:pt x="130526" y="271724"/>
                <a:pt x="87168" y="330163"/>
              </a:cubicBezTo>
              <a:cubicBezTo>
                <a:pt x="77396" y="343334"/>
                <a:pt x="69645" y="357899"/>
                <a:pt x="61381" y="372066"/>
              </a:cubicBezTo>
              <a:cubicBezTo>
                <a:pt x="54597" y="383695"/>
                <a:pt x="47344" y="395149"/>
                <a:pt x="42041" y="407523"/>
              </a:cubicBezTo>
              <a:cubicBezTo>
                <a:pt x="37622" y="417834"/>
                <a:pt x="35092" y="428874"/>
                <a:pt x="32371" y="439757"/>
              </a:cubicBezTo>
              <a:cubicBezTo>
                <a:pt x="24856" y="469817"/>
                <a:pt x="26388" y="471501"/>
                <a:pt x="22701" y="501000"/>
              </a:cubicBezTo>
              <a:cubicBezTo>
                <a:pt x="21759" y="508539"/>
                <a:pt x="20552" y="516043"/>
                <a:pt x="19478" y="523564"/>
              </a:cubicBezTo>
              <a:cubicBezTo>
                <a:pt x="20552" y="548276"/>
                <a:pt x="20647" y="573051"/>
                <a:pt x="22701" y="597701"/>
              </a:cubicBezTo>
              <a:cubicBezTo>
                <a:pt x="23875" y="611784"/>
                <a:pt x="26528" y="625717"/>
                <a:pt x="29148" y="639604"/>
              </a:cubicBezTo>
              <a:cubicBezTo>
                <a:pt x="37274" y="682673"/>
                <a:pt x="44895" y="725874"/>
                <a:pt x="54934" y="768538"/>
              </a:cubicBezTo>
              <a:cubicBezTo>
                <a:pt x="59232" y="786804"/>
                <a:pt x="61323" y="805734"/>
                <a:pt x="67828" y="823335"/>
              </a:cubicBezTo>
              <a:cubicBezTo>
                <a:pt x="106193" y="927148"/>
                <a:pt x="93568" y="889466"/>
                <a:pt x="132295" y="949046"/>
              </a:cubicBezTo>
              <a:cubicBezTo>
                <a:pt x="139124" y="959552"/>
                <a:pt x="144053" y="971304"/>
                <a:pt x="151635" y="981280"/>
              </a:cubicBezTo>
              <a:cubicBezTo>
                <a:pt x="169617" y="1004941"/>
                <a:pt x="227921" y="1068096"/>
                <a:pt x="248335" y="1084427"/>
              </a:cubicBezTo>
              <a:cubicBezTo>
                <a:pt x="259080" y="1093023"/>
                <a:pt x="270251" y="1101110"/>
                <a:pt x="280569" y="1110214"/>
              </a:cubicBezTo>
              <a:cubicBezTo>
                <a:pt x="328143" y="1152190"/>
                <a:pt x="275933" y="1114644"/>
                <a:pt x="332143" y="1152117"/>
              </a:cubicBezTo>
              <a:cubicBezTo>
                <a:pt x="335366" y="1154266"/>
                <a:pt x="345488" y="1159789"/>
                <a:pt x="341813" y="1158564"/>
              </a:cubicBezTo>
              <a:lnTo>
                <a:pt x="332143" y="1155340"/>
              </a:lnTo>
              <a:cubicBezTo>
                <a:pt x="327845" y="1151042"/>
                <a:pt x="324306" y="1145818"/>
                <a:pt x="319249" y="1142447"/>
              </a:cubicBezTo>
              <a:cubicBezTo>
                <a:pt x="314435" y="1139237"/>
                <a:pt x="308386" y="1138425"/>
                <a:pt x="303132" y="1136000"/>
              </a:cubicBezTo>
              <a:cubicBezTo>
                <a:pt x="294407" y="1131973"/>
                <a:pt x="285747" y="1127774"/>
                <a:pt x="277346" y="1123107"/>
              </a:cubicBezTo>
              <a:cubicBezTo>
                <a:pt x="266393" y="1117022"/>
                <a:pt x="255377" y="1110953"/>
                <a:pt x="245112" y="1103767"/>
              </a:cubicBezTo>
              <a:cubicBezTo>
                <a:pt x="221230" y="1087050"/>
                <a:pt x="201452" y="1069192"/>
                <a:pt x="183868" y="1045747"/>
              </a:cubicBezTo>
              <a:cubicBezTo>
                <a:pt x="159616" y="1013411"/>
                <a:pt x="142945" y="980752"/>
                <a:pt x="129071" y="942599"/>
              </a:cubicBezTo>
              <a:cubicBezTo>
                <a:pt x="105233" y="877042"/>
                <a:pt x="97883" y="840645"/>
                <a:pt x="87168" y="771762"/>
              </a:cubicBezTo>
              <a:cubicBezTo>
                <a:pt x="80883" y="731362"/>
                <a:pt x="81279" y="712868"/>
                <a:pt x="77498" y="675061"/>
              </a:cubicBezTo>
              <a:cubicBezTo>
                <a:pt x="76636" y="666441"/>
                <a:pt x="75349" y="657870"/>
                <a:pt x="74274" y="649274"/>
              </a:cubicBezTo>
              <a:cubicBezTo>
                <a:pt x="77498" y="624562"/>
                <a:pt x="78201" y="599388"/>
                <a:pt x="83945" y="575137"/>
              </a:cubicBezTo>
              <a:cubicBezTo>
                <a:pt x="87906" y="558412"/>
                <a:pt x="118469" y="493194"/>
                <a:pt x="125848" y="478437"/>
              </a:cubicBezTo>
              <a:cubicBezTo>
                <a:pt x="135897" y="458339"/>
                <a:pt x="175701" y="386957"/>
                <a:pt x="183868" y="375290"/>
              </a:cubicBezTo>
              <a:cubicBezTo>
                <a:pt x="225871" y="315287"/>
                <a:pt x="248711" y="280409"/>
                <a:pt x="290239" y="227016"/>
              </a:cubicBezTo>
              <a:cubicBezTo>
                <a:pt x="299614" y="214962"/>
                <a:pt x="310492" y="204069"/>
                <a:pt x="319249" y="191559"/>
              </a:cubicBezTo>
              <a:cubicBezTo>
                <a:pt x="326770" y="180814"/>
                <a:pt x="333944" y="169818"/>
                <a:pt x="341813" y="159325"/>
              </a:cubicBezTo>
              <a:cubicBezTo>
                <a:pt x="346848" y="152612"/>
                <a:pt x="352687" y="146538"/>
                <a:pt x="357929" y="139985"/>
              </a:cubicBezTo>
              <a:cubicBezTo>
                <a:pt x="361285" y="135790"/>
                <a:pt x="363301" y="130315"/>
                <a:pt x="367599" y="127092"/>
              </a:cubicBezTo>
              <a:cubicBezTo>
                <a:pt x="372228" y="123620"/>
                <a:pt x="378448" y="123039"/>
                <a:pt x="383716" y="120645"/>
              </a:cubicBezTo>
              <a:cubicBezTo>
                <a:pt x="390278" y="117662"/>
                <a:pt x="396710" y="114392"/>
                <a:pt x="403056" y="110975"/>
              </a:cubicBezTo>
              <a:cubicBezTo>
                <a:pt x="410683" y="106868"/>
                <a:pt x="417755" y="101712"/>
                <a:pt x="425620" y="98082"/>
              </a:cubicBezTo>
              <a:cubicBezTo>
                <a:pt x="439737" y="91567"/>
                <a:pt x="444512" y="92414"/>
                <a:pt x="457853" y="88412"/>
              </a:cubicBezTo>
              <a:cubicBezTo>
                <a:pt x="464362" y="86459"/>
                <a:pt x="483502" y="79441"/>
                <a:pt x="477193" y="81965"/>
              </a:cubicBezTo>
              <a:cubicBezTo>
                <a:pt x="448904" y="93282"/>
                <a:pt x="472474" y="82046"/>
                <a:pt x="444960" y="101305"/>
              </a:cubicBezTo>
              <a:cubicBezTo>
                <a:pt x="439827" y="104898"/>
                <a:pt x="433788" y="107129"/>
                <a:pt x="428843" y="110975"/>
              </a:cubicBezTo>
              <a:cubicBezTo>
                <a:pt x="424045" y="114706"/>
                <a:pt x="420524" y="119866"/>
                <a:pt x="415950" y="123868"/>
              </a:cubicBezTo>
              <a:cubicBezTo>
                <a:pt x="411907" y="127406"/>
                <a:pt x="406855" y="129739"/>
                <a:pt x="403056" y="133538"/>
              </a:cubicBezTo>
              <a:cubicBezTo>
                <a:pt x="392754" y="143840"/>
                <a:pt x="382923" y="161566"/>
                <a:pt x="374046" y="172219"/>
              </a:cubicBezTo>
              <a:cubicBezTo>
                <a:pt x="363821" y="184489"/>
                <a:pt x="352208" y="195548"/>
                <a:pt x="341813" y="207675"/>
              </a:cubicBezTo>
              <a:cubicBezTo>
                <a:pt x="313521" y="240682"/>
                <a:pt x="284863" y="273416"/>
                <a:pt x="258005" y="307599"/>
              </a:cubicBezTo>
              <a:cubicBezTo>
                <a:pt x="229467" y="343920"/>
                <a:pt x="198053" y="380120"/>
                <a:pt x="180645" y="423640"/>
              </a:cubicBezTo>
              <a:cubicBezTo>
                <a:pt x="168167" y="454836"/>
                <a:pt x="148723" y="560431"/>
                <a:pt x="148412" y="562244"/>
              </a:cubicBezTo>
              <a:cubicBezTo>
                <a:pt x="125602" y="695293"/>
                <a:pt x="133065" y="637116"/>
                <a:pt x="122625" y="736305"/>
              </a:cubicBezTo>
              <a:cubicBezTo>
                <a:pt x="124774" y="807219"/>
                <a:pt x="124352" y="878257"/>
                <a:pt x="129071" y="949046"/>
              </a:cubicBezTo>
              <a:cubicBezTo>
                <a:pt x="130060" y="963882"/>
                <a:pt x="150852" y="1075567"/>
                <a:pt x="154858" y="1094097"/>
              </a:cubicBezTo>
              <a:cubicBezTo>
                <a:pt x="163647" y="1134748"/>
                <a:pt x="174071" y="1176449"/>
                <a:pt x="199985" y="1210137"/>
              </a:cubicBezTo>
              <a:cubicBezTo>
                <a:pt x="210453" y="1223745"/>
                <a:pt x="219690" y="1228185"/>
                <a:pt x="232219" y="1239148"/>
              </a:cubicBezTo>
              <a:cubicBezTo>
                <a:pt x="235650" y="1242150"/>
                <a:pt x="237904" y="1246604"/>
                <a:pt x="241889" y="1248818"/>
              </a:cubicBezTo>
              <a:cubicBezTo>
                <a:pt x="247829" y="1252118"/>
                <a:pt x="261229" y="1255264"/>
                <a:pt x="261229" y="1255264"/>
              </a:cubicBezTo>
              <a:cubicBezTo>
                <a:pt x="268750" y="1254190"/>
                <a:pt x="277714" y="1256599"/>
                <a:pt x="283792" y="1252041"/>
              </a:cubicBezTo>
              <a:cubicBezTo>
                <a:pt x="286891" y="1249717"/>
                <a:pt x="277221" y="1247918"/>
                <a:pt x="274122" y="1245594"/>
              </a:cubicBezTo>
              <a:cubicBezTo>
                <a:pt x="268618" y="1241466"/>
                <a:pt x="263147" y="1237272"/>
                <a:pt x="258005" y="1232701"/>
              </a:cubicBezTo>
              <a:cubicBezTo>
                <a:pt x="239443" y="1216201"/>
                <a:pt x="248726" y="1222477"/>
                <a:pt x="232219" y="1200467"/>
              </a:cubicBezTo>
              <a:cubicBezTo>
                <a:pt x="223963" y="1189459"/>
                <a:pt x="214550" y="1179343"/>
                <a:pt x="206432" y="1168234"/>
              </a:cubicBezTo>
              <a:cubicBezTo>
                <a:pt x="179389" y="1131228"/>
                <a:pt x="160810" y="1102105"/>
                <a:pt x="138742" y="1061863"/>
              </a:cubicBezTo>
              <a:cubicBezTo>
                <a:pt x="130655" y="1047117"/>
                <a:pt x="122951" y="1032130"/>
                <a:pt x="116178" y="1016736"/>
              </a:cubicBezTo>
              <a:cubicBezTo>
                <a:pt x="111113" y="1005225"/>
                <a:pt x="107583" y="993099"/>
                <a:pt x="103285" y="981280"/>
              </a:cubicBezTo>
              <a:cubicBezTo>
                <a:pt x="102210" y="972684"/>
                <a:pt x="101286" y="964069"/>
                <a:pt x="100061" y="955493"/>
              </a:cubicBezTo>
              <a:cubicBezTo>
                <a:pt x="99137" y="949023"/>
                <a:pt x="96838" y="942689"/>
                <a:pt x="96838" y="936153"/>
              </a:cubicBezTo>
              <a:cubicBezTo>
                <a:pt x="96838" y="928555"/>
                <a:pt x="98413" y="921006"/>
                <a:pt x="100061" y="913589"/>
              </a:cubicBezTo>
              <a:cubicBezTo>
                <a:pt x="110029" y="868732"/>
                <a:pt x="111927" y="876025"/>
                <a:pt x="132295" y="826559"/>
              </a:cubicBezTo>
              <a:cubicBezTo>
                <a:pt x="140196" y="807371"/>
                <a:pt x="147766" y="788040"/>
                <a:pt x="154858" y="768538"/>
              </a:cubicBezTo>
              <a:cubicBezTo>
                <a:pt x="160664" y="752572"/>
                <a:pt x="165010" y="736095"/>
                <a:pt x="170975" y="720188"/>
              </a:cubicBezTo>
              <a:cubicBezTo>
                <a:pt x="177911" y="701692"/>
                <a:pt x="187290" y="684130"/>
                <a:pt x="193538" y="665391"/>
              </a:cubicBezTo>
              <a:cubicBezTo>
                <a:pt x="194613" y="662168"/>
                <a:pt x="195569" y="658902"/>
                <a:pt x="196762" y="655721"/>
              </a:cubicBezTo>
              <a:cubicBezTo>
                <a:pt x="198794" y="650303"/>
                <a:pt x="201379" y="645093"/>
                <a:pt x="203209" y="639604"/>
              </a:cubicBezTo>
              <a:cubicBezTo>
                <a:pt x="205682" y="632183"/>
                <a:pt x="207182" y="624462"/>
                <a:pt x="209655" y="617041"/>
              </a:cubicBezTo>
              <a:cubicBezTo>
                <a:pt x="214706" y="601888"/>
                <a:pt x="220721" y="587067"/>
                <a:pt x="225772" y="571914"/>
              </a:cubicBezTo>
              <a:cubicBezTo>
                <a:pt x="231468" y="554827"/>
                <a:pt x="235831" y="537302"/>
                <a:pt x="241889" y="520340"/>
              </a:cubicBezTo>
              <a:cubicBezTo>
                <a:pt x="246587" y="507186"/>
                <a:pt x="253232" y="494787"/>
                <a:pt x="258005" y="481660"/>
              </a:cubicBezTo>
              <a:cubicBezTo>
                <a:pt x="261839" y="471118"/>
                <a:pt x="264129" y="460069"/>
                <a:pt x="267676" y="449427"/>
              </a:cubicBezTo>
              <a:cubicBezTo>
                <a:pt x="270579" y="440718"/>
                <a:pt x="274123" y="432236"/>
                <a:pt x="277346" y="423640"/>
              </a:cubicBezTo>
              <a:cubicBezTo>
                <a:pt x="278420" y="416119"/>
                <a:pt x="278977" y="408505"/>
                <a:pt x="280569" y="401076"/>
              </a:cubicBezTo>
              <a:cubicBezTo>
                <a:pt x="282208" y="393428"/>
                <a:pt x="284661" y="385972"/>
                <a:pt x="287016" y="378513"/>
              </a:cubicBezTo>
              <a:cubicBezTo>
                <a:pt x="289666" y="370120"/>
                <a:pt x="300001" y="337220"/>
                <a:pt x="306356" y="323716"/>
              </a:cubicBezTo>
              <a:cubicBezTo>
                <a:pt x="312785" y="310055"/>
                <a:pt x="328631" y="277861"/>
                <a:pt x="338589" y="262472"/>
              </a:cubicBezTo>
              <a:cubicBezTo>
                <a:pt x="345714" y="251461"/>
                <a:pt x="353124" y="240610"/>
                <a:pt x="361153" y="230239"/>
              </a:cubicBezTo>
              <a:cubicBezTo>
                <a:pt x="378925" y="207284"/>
                <a:pt x="397524" y="184981"/>
                <a:pt x="415950" y="162549"/>
              </a:cubicBezTo>
              <a:cubicBezTo>
                <a:pt x="419743" y="157932"/>
                <a:pt x="443009" y="131629"/>
                <a:pt x="448183" y="123868"/>
              </a:cubicBezTo>
              <a:cubicBezTo>
                <a:pt x="450332" y="120645"/>
                <a:pt x="458095" y="112465"/>
                <a:pt x="454630" y="114198"/>
              </a:cubicBezTo>
              <a:cubicBezTo>
                <a:pt x="442568" y="120230"/>
                <a:pt x="420250" y="160611"/>
                <a:pt x="419173" y="162549"/>
              </a:cubicBezTo>
              <a:cubicBezTo>
                <a:pt x="403607" y="190567"/>
                <a:pt x="398050" y="198017"/>
                <a:pt x="386939" y="230239"/>
              </a:cubicBezTo>
              <a:cubicBezTo>
                <a:pt x="380732" y="248238"/>
                <a:pt x="377005" y="267028"/>
                <a:pt x="370823" y="285036"/>
              </a:cubicBezTo>
              <a:cubicBezTo>
                <a:pt x="352284" y="339040"/>
                <a:pt x="330331" y="391863"/>
                <a:pt x="312802" y="446203"/>
              </a:cubicBezTo>
              <a:cubicBezTo>
                <a:pt x="291313" y="512819"/>
                <a:pt x="266532" y="578461"/>
                <a:pt x="248335" y="646051"/>
              </a:cubicBezTo>
              <a:cubicBezTo>
                <a:pt x="219742" y="752255"/>
                <a:pt x="232473" y="701714"/>
                <a:pt x="209655" y="797549"/>
              </a:cubicBezTo>
              <a:cubicBezTo>
                <a:pt x="201619" y="881933"/>
                <a:pt x="199965" y="869220"/>
                <a:pt x="206432" y="968386"/>
              </a:cubicBezTo>
              <a:cubicBezTo>
                <a:pt x="207421" y="983549"/>
                <a:pt x="209194" y="998772"/>
                <a:pt x="212879" y="1013513"/>
              </a:cubicBezTo>
              <a:cubicBezTo>
                <a:pt x="219968" y="1041868"/>
                <a:pt x="230069" y="1069384"/>
                <a:pt x="238665" y="1097320"/>
              </a:cubicBezTo>
              <a:lnTo>
                <a:pt x="251559" y="1139224"/>
              </a:lnTo>
              <a:cubicBezTo>
                <a:pt x="255857" y="1153192"/>
                <a:pt x="259155" y="1167507"/>
                <a:pt x="264452" y="1181127"/>
              </a:cubicBezTo>
              <a:cubicBezTo>
                <a:pt x="271973" y="1200467"/>
                <a:pt x="281316" y="1219195"/>
                <a:pt x="287016" y="1239148"/>
              </a:cubicBezTo>
              <a:cubicBezTo>
                <a:pt x="289165" y="1246669"/>
                <a:pt x="290989" y="1254290"/>
                <a:pt x="293462" y="1261711"/>
              </a:cubicBezTo>
              <a:cubicBezTo>
                <a:pt x="295292" y="1267200"/>
                <a:pt x="297877" y="1272410"/>
                <a:pt x="299909" y="1277828"/>
              </a:cubicBezTo>
              <a:cubicBezTo>
                <a:pt x="301102" y="1281009"/>
                <a:pt x="302058" y="1284275"/>
                <a:pt x="303132" y="1287498"/>
              </a:cubicBezTo>
              <a:cubicBezTo>
                <a:pt x="302058" y="1275679"/>
                <a:pt x="302236" y="1263678"/>
                <a:pt x="299909" y="1252041"/>
              </a:cubicBezTo>
              <a:cubicBezTo>
                <a:pt x="296841" y="1236701"/>
                <a:pt x="292164" y="1221687"/>
                <a:pt x="287016" y="1206914"/>
              </a:cubicBezTo>
              <a:cubicBezTo>
                <a:pt x="267441" y="1150743"/>
                <a:pt x="246502" y="1095055"/>
                <a:pt x="225772" y="1039300"/>
              </a:cubicBezTo>
              <a:cubicBezTo>
                <a:pt x="215341" y="1011246"/>
                <a:pt x="202340" y="984100"/>
                <a:pt x="193538" y="955493"/>
              </a:cubicBezTo>
              <a:cubicBezTo>
                <a:pt x="180645" y="913589"/>
                <a:pt x="167593" y="871734"/>
                <a:pt x="154858" y="829782"/>
              </a:cubicBezTo>
              <a:cubicBezTo>
                <a:pt x="149328" y="811564"/>
                <a:pt x="138742" y="774985"/>
                <a:pt x="138742" y="774985"/>
              </a:cubicBezTo>
              <a:cubicBezTo>
                <a:pt x="132183" y="686443"/>
                <a:pt x="127834" y="682881"/>
                <a:pt x="138742" y="591254"/>
              </a:cubicBezTo>
              <a:cubicBezTo>
                <a:pt x="142430" y="560273"/>
                <a:pt x="165187" y="508451"/>
                <a:pt x="174198" y="484884"/>
              </a:cubicBezTo>
              <a:cubicBezTo>
                <a:pt x="203758" y="407573"/>
                <a:pt x="183402" y="458605"/>
                <a:pt x="238665" y="343056"/>
              </a:cubicBezTo>
              <a:cubicBezTo>
                <a:pt x="258012" y="302604"/>
                <a:pt x="274822" y="261423"/>
                <a:pt x="299909" y="223792"/>
              </a:cubicBezTo>
              <a:cubicBezTo>
                <a:pt x="304207" y="217345"/>
                <a:pt x="308898" y="211144"/>
                <a:pt x="312802" y="204452"/>
              </a:cubicBezTo>
              <a:cubicBezTo>
                <a:pt x="316434" y="198226"/>
                <a:pt x="318764" y="191292"/>
                <a:pt x="322472" y="185112"/>
              </a:cubicBezTo>
              <a:cubicBezTo>
                <a:pt x="326739" y="178000"/>
                <a:pt x="335250" y="168018"/>
                <a:pt x="341813" y="162549"/>
              </a:cubicBezTo>
              <a:cubicBezTo>
                <a:pt x="344789" y="160069"/>
                <a:pt x="348260" y="158251"/>
                <a:pt x="351483" y="156102"/>
              </a:cubicBezTo>
              <a:cubicBezTo>
                <a:pt x="360997" y="141830"/>
                <a:pt x="368824" y="127351"/>
                <a:pt x="383716" y="117422"/>
              </a:cubicBezTo>
              <a:cubicBezTo>
                <a:pt x="386939" y="115273"/>
                <a:pt x="396125" y="108236"/>
                <a:pt x="393386" y="110975"/>
              </a:cubicBezTo>
              <a:cubicBezTo>
                <a:pt x="389587" y="114774"/>
                <a:pt x="384292" y="116846"/>
                <a:pt x="380493" y="120645"/>
              </a:cubicBezTo>
              <a:cubicBezTo>
                <a:pt x="363921" y="137217"/>
                <a:pt x="367501" y="137685"/>
                <a:pt x="354706" y="152879"/>
              </a:cubicBezTo>
              <a:cubicBezTo>
                <a:pt x="323384" y="190074"/>
                <a:pt x="311569" y="200973"/>
                <a:pt x="283792" y="236686"/>
              </a:cubicBezTo>
              <a:cubicBezTo>
                <a:pt x="270599" y="253648"/>
                <a:pt x="258954" y="271822"/>
                <a:pt x="245112" y="288259"/>
              </a:cubicBezTo>
              <a:cubicBezTo>
                <a:pt x="191940" y="351401"/>
                <a:pt x="145561" y="402786"/>
                <a:pt x="103285" y="478437"/>
              </a:cubicBezTo>
              <a:cubicBezTo>
                <a:pt x="63518" y="549599"/>
                <a:pt x="46773" y="567387"/>
                <a:pt x="25924" y="629934"/>
              </a:cubicBezTo>
              <a:cubicBezTo>
                <a:pt x="22050" y="641556"/>
                <a:pt x="19477" y="653572"/>
                <a:pt x="16254" y="665391"/>
              </a:cubicBezTo>
              <a:cubicBezTo>
                <a:pt x="14105" y="690103"/>
                <a:pt x="11404" y="714774"/>
                <a:pt x="9807" y="739528"/>
              </a:cubicBezTo>
              <a:lnTo>
                <a:pt x="3361" y="839452"/>
              </a:lnTo>
              <a:cubicBezTo>
                <a:pt x="5510" y="916812"/>
                <a:pt x="1706" y="994568"/>
                <a:pt x="9807" y="1071533"/>
              </a:cubicBezTo>
              <a:cubicBezTo>
                <a:pt x="12546" y="1097554"/>
                <a:pt x="26844" y="1121012"/>
                <a:pt x="35594" y="1145670"/>
              </a:cubicBezTo>
              <a:cubicBezTo>
                <a:pt x="38664" y="1154322"/>
                <a:pt x="40541" y="1163585"/>
                <a:pt x="45264" y="1171457"/>
              </a:cubicBezTo>
              <a:cubicBezTo>
                <a:pt x="48487" y="1176829"/>
                <a:pt x="51570" y="1182288"/>
                <a:pt x="54934" y="1187574"/>
              </a:cubicBezTo>
              <a:cubicBezTo>
                <a:pt x="59094" y="1194111"/>
                <a:pt x="67828" y="1206914"/>
                <a:pt x="67828" y="1206914"/>
              </a:cubicBezTo>
              <a:cubicBezTo>
                <a:pt x="68902" y="1203691"/>
                <a:pt x="71051" y="1200642"/>
                <a:pt x="71051" y="1197244"/>
              </a:cubicBezTo>
              <a:cubicBezTo>
                <a:pt x="71051" y="1192202"/>
                <a:pt x="62641" y="1177621"/>
                <a:pt x="61381" y="1174681"/>
              </a:cubicBezTo>
              <a:cubicBezTo>
                <a:pt x="60043" y="1171558"/>
                <a:pt x="59351" y="1168192"/>
                <a:pt x="58158" y="1165010"/>
              </a:cubicBezTo>
              <a:cubicBezTo>
                <a:pt x="56126" y="1159592"/>
                <a:pt x="53688" y="1154332"/>
                <a:pt x="51711" y="1148894"/>
              </a:cubicBezTo>
              <a:cubicBezTo>
                <a:pt x="28243" y="1084359"/>
                <a:pt x="34910" y="1103236"/>
                <a:pt x="16254" y="1036076"/>
              </a:cubicBezTo>
              <a:cubicBezTo>
                <a:pt x="8835" y="969302"/>
                <a:pt x="837" y="910564"/>
                <a:pt x="137" y="842675"/>
              </a:cubicBezTo>
              <a:cubicBezTo>
                <a:pt x="-572" y="773906"/>
                <a:pt x="1598" y="705131"/>
                <a:pt x="3361" y="636381"/>
              </a:cubicBezTo>
              <a:cubicBezTo>
                <a:pt x="3748" y="621305"/>
                <a:pt x="4451" y="606183"/>
                <a:pt x="6584" y="591254"/>
              </a:cubicBezTo>
              <a:cubicBezTo>
                <a:pt x="16077" y="524802"/>
                <a:pt x="56436" y="430244"/>
                <a:pt x="77498" y="384960"/>
              </a:cubicBezTo>
              <a:cubicBezTo>
                <a:pt x="98987" y="338759"/>
                <a:pt x="117566" y="291089"/>
                <a:pt x="141965" y="246356"/>
              </a:cubicBezTo>
              <a:cubicBezTo>
                <a:pt x="148412" y="234537"/>
                <a:pt x="155517" y="223054"/>
                <a:pt x="161305" y="210899"/>
              </a:cubicBezTo>
              <a:cubicBezTo>
                <a:pt x="166280" y="200451"/>
                <a:pt x="169023" y="189016"/>
                <a:pt x="174198" y="178665"/>
              </a:cubicBezTo>
              <a:cubicBezTo>
                <a:pt x="178731" y="169599"/>
                <a:pt x="185345" y="161713"/>
                <a:pt x="190315" y="152879"/>
              </a:cubicBezTo>
              <a:cubicBezTo>
                <a:pt x="195027" y="144503"/>
                <a:pt x="198116" y="135242"/>
                <a:pt x="203209" y="127092"/>
              </a:cubicBezTo>
              <a:cubicBezTo>
                <a:pt x="208904" y="117981"/>
                <a:pt x="216304" y="110048"/>
                <a:pt x="222549" y="101305"/>
              </a:cubicBezTo>
              <a:cubicBezTo>
                <a:pt x="227052" y="95000"/>
                <a:pt x="230602" y="88015"/>
                <a:pt x="235442" y="81965"/>
              </a:cubicBezTo>
              <a:cubicBezTo>
                <a:pt x="239239" y="77219"/>
                <a:pt x="244380" y="73686"/>
                <a:pt x="248335" y="69071"/>
              </a:cubicBezTo>
              <a:cubicBezTo>
                <a:pt x="250856" y="66130"/>
                <a:pt x="251523" y="61496"/>
                <a:pt x="254782" y="59401"/>
              </a:cubicBezTo>
              <a:cubicBezTo>
                <a:pt x="266908" y="51606"/>
                <a:pt x="281101" y="47477"/>
                <a:pt x="293462" y="40061"/>
              </a:cubicBezTo>
              <a:cubicBezTo>
                <a:pt x="298834" y="36838"/>
                <a:pt x="303875" y="32983"/>
                <a:pt x="309579" y="30391"/>
              </a:cubicBezTo>
              <a:cubicBezTo>
                <a:pt x="315765" y="27579"/>
                <a:pt x="328919" y="17150"/>
                <a:pt x="328919" y="23945"/>
              </a:cubicBezTo>
              <a:lnTo>
                <a:pt x="328919" y="40061"/>
              </a:lnTo>
            </a:path>
          </a:pathLst>
        </a:custGeom>
        <a:noFill/>
        <a:ln>
          <a:solidFill>
            <a:srgbClr val="FFFF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547969</xdr:colOff>
      <xdr:row>121</xdr:row>
      <xdr:rowOff>175903</xdr:rowOff>
    </xdr:from>
    <xdr:to>
      <xdr:col>6</xdr:col>
      <xdr:colOff>316025</xdr:colOff>
      <xdr:row>128</xdr:row>
      <xdr:rowOff>41904</xdr:rowOff>
    </xdr:to>
    <xdr:sp macro="" textlink="">
      <xdr:nvSpPr>
        <xdr:cNvPr id="132" name="Freeform 131">
          <a:extLst>
            <a:ext uri="{FF2B5EF4-FFF2-40B4-BE49-F238E27FC236}">
              <a16:creationId xmlns:a16="http://schemas.microsoft.com/office/drawing/2014/main" id="{58EDFED1-6224-8F6D-E429-1541D9D2DA44}"/>
            </a:ext>
          </a:extLst>
        </xdr:cNvPr>
        <xdr:cNvSpPr/>
      </xdr:nvSpPr>
      <xdr:spPr>
        <a:xfrm rot="9035007">
          <a:off x="13514443772" y="24747502"/>
          <a:ext cx="593234" cy="1287498"/>
        </a:xfrm>
        <a:custGeom>
          <a:avLst/>
          <a:gdLst>
            <a:gd name="connsiteX0" fmla="*/ 499757 w 593234"/>
            <a:gd name="connsiteY0" fmla="*/ 49731 h 1287498"/>
            <a:gd name="connsiteX1" fmla="*/ 380493 w 593234"/>
            <a:gd name="connsiteY1" fmla="*/ 136762 h 1287498"/>
            <a:gd name="connsiteX2" fmla="*/ 357929 w 593234"/>
            <a:gd name="connsiteY2" fmla="*/ 162549 h 1287498"/>
            <a:gd name="connsiteX3" fmla="*/ 338589 w 593234"/>
            <a:gd name="connsiteY3" fmla="*/ 188335 h 1287498"/>
            <a:gd name="connsiteX4" fmla="*/ 296686 w 593234"/>
            <a:gd name="connsiteY4" fmla="*/ 268919 h 1287498"/>
            <a:gd name="connsiteX5" fmla="*/ 277346 w 593234"/>
            <a:gd name="connsiteY5" fmla="*/ 323716 h 1287498"/>
            <a:gd name="connsiteX6" fmla="*/ 270899 w 593234"/>
            <a:gd name="connsiteY6" fmla="*/ 359173 h 1287498"/>
            <a:gd name="connsiteX7" fmla="*/ 251559 w 593234"/>
            <a:gd name="connsiteY7" fmla="*/ 436533 h 1287498"/>
            <a:gd name="connsiteX8" fmla="*/ 241889 w 593234"/>
            <a:gd name="connsiteY8" fmla="*/ 478437 h 1287498"/>
            <a:gd name="connsiteX9" fmla="*/ 235442 w 593234"/>
            <a:gd name="connsiteY9" fmla="*/ 520340 h 1287498"/>
            <a:gd name="connsiteX10" fmla="*/ 232219 w 593234"/>
            <a:gd name="connsiteY10" fmla="*/ 562244 h 1287498"/>
            <a:gd name="connsiteX11" fmla="*/ 228995 w 593234"/>
            <a:gd name="connsiteY11" fmla="*/ 597701 h 1287498"/>
            <a:gd name="connsiteX12" fmla="*/ 225772 w 593234"/>
            <a:gd name="connsiteY12" fmla="*/ 675061 h 1287498"/>
            <a:gd name="connsiteX13" fmla="*/ 228995 w 593234"/>
            <a:gd name="connsiteY13" fmla="*/ 758868 h 1287498"/>
            <a:gd name="connsiteX14" fmla="*/ 232219 w 593234"/>
            <a:gd name="connsiteY14" fmla="*/ 774985 h 1287498"/>
            <a:gd name="connsiteX15" fmla="*/ 245112 w 593234"/>
            <a:gd name="connsiteY15" fmla="*/ 807219 h 1287498"/>
            <a:gd name="connsiteX16" fmla="*/ 264452 w 593234"/>
            <a:gd name="connsiteY16" fmla="*/ 868462 h 1287498"/>
            <a:gd name="connsiteX17" fmla="*/ 270899 w 593234"/>
            <a:gd name="connsiteY17" fmla="*/ 900696 h 1287498"/>
            <a:gd name="connsiteX18" fmla="*/ 283792 w 593234"/>
            <a:gd name="connsiteY18" fmla="*/ 974833 h 1287498"/>
            <a:gd name="connsiteX19" fmla="*/ 290239 w 593234"/>
            <a:gd name="connsiteY19" fmla="*/ 1000620 h 1287498"/>
            <a:gd name="connsiteX20" fmla="*/ 299909 w 593234"/>
            <a:gd name="connsiteY20" fmla="*/ 1032853 h 1287498"/>
            <a:gd name="connsiteX21" fmla="*/ 303132 w 593234"/>
            <a:gd name="connsiteY21" fmla="*/ 1042523 h 1287498"/>
            <a:gd name="connsiteX22" fmla="*/ 296686 w 593234"/>
            <a:gd name="connsiteY22" fmla="*/ 1026406 h 1287498"/>
            <a:gd name="connsiteX23" fmla="*/ 283792 w 593234"/>
            <a:gd name="connsiteY23" fmla="*/ 1000620 h 1287498"/>
            <a:gd name="connsiteX24" fmla="*/ 261229 w 593234"/>
            <a:gd name="connsiteY24" fmla="*/ 945823 h 1287498"/>
            <a:gd name="connsiteX25" fmla="*/ 254782 w 593234"/>
            <a:gd name="connsiteY25" fmla="*/ 891026 h 1287498"/>
            <a:gd name="connsiteX26" fmla="*/ 245112 w 593234"/>
            <a:gd name="connsiteY26" fmla="*/ 820112 h 1287498"/>
            <a:gd name="connsiteX27" fmla="*/ 241889 w 593234"/>
            <a:gd name="connsiteY27" fmla="*/ 749198 h 1287498"/>
            <a:gd name="connsiteX28" fmla="*/ 238665 w 593234"/>
            <a:gd name="connsiteY28" fmla="*/ 700848 h 1287498"/>
            <a:gd name="connsiteX29" fmla="*/ 241889 w 593234"/>
            <a:gd name="connsiteY29" fmla="*/ 623488 h 1287498"/>
            <a:gd name="connsiteX30" fmla="*/ 251559 w 593234"/>
            <a:gd name="connsiteY30" fmla="*/ 600924 h 1287498"/>
            <a:gd name="connsiteX31" fmla="*/ 309579 w 593234"/>
            <a:gd name="connsiteY31" fmla="*/ 449427 h 1287498"/>
            <a:gd name="connsiteX32" fmla="*/ 338589 w 593234"/>
            <a:gd name="connsiteY32" fmla="*/ 355950 h 1287498"/>
            <a:gd name="connsiteX33" fmla="*/ 348259 w 593234"/>
            <a:gd name="connsiteY33" fmla="*/ 330163 h 1287498"/>
            <a:gd name="connsiteX34" fmla="*/ 361153 w 593234"/>
            <a:gd name="connsiteY34" fmla="*/ 291483 h 1287498"/>
            <a:gd name="connsiteX35" fmla="*/ 383716 w 593234"/>
            <a:gd name="connsiteY35" fmla="*/ 249579 h 1287498"/>
            <a:gd name="connsiteX36" fmla="*/ 403056 w 593234"/>
            <a:gd name="connsiteY36" fmla="*/ 220569 h 1287498"/>
            <a:gd name="connsiteX37" fmla="*/ 444960 w 593234"/>
            <a:gd name="connsiteY37" fmla="*/ 152879 h 1287498"/>
            <a:gd name="connsiteX38" fmla="*/ 473970 w 593234"/>
            <a:gd name="connsiteY38" fmla="*/ 101305 h 1287498"/>
            <a:gd name="connsiteX39" fmla="*/ 486863 w 593234"/>
            <a:gd name="connsiteY39" fmla="*/ 78741 h 1287498"/>
            <a:gd name="connsiteX40" fmla="*/ 506203 w 593234"/>
            <a:gd name="connsiteY40" fmla="*/ 65848 h 1287498"/>
            <a:gd name="connsiteX41" fmla="*/ 548107 w 593234"/>
            <a:gd name="connsiteY41" fmla="*/ 36838 h 1287498"/>
            <a:gd name="connsiteX42" fmla="*/ 567447 w 593234"/>
            <a:gd name="connsiteY42" fmla="*/ 23945 h 1287498"/>
            <a:gd name="connsiteX43" fmla="*/ 580340 w 593234"/>
            <a:gd name="connsiteY43" fmla="*/ 11051 h 1287498"/>
            <a:gd name="connsiteX44" fmla="*/ 593234 w 593234"/>
            <a:gd name="connsiteY44" fmla="*/ 1381 h 1287498"/>
            <a:gd name="connsiteX45" fmla="*/ 580340 w 593234"/>
            <a:gd name="connsiteY45" fmla="*/ 7828 h 1287498"/>
            <a:gd name="connsiteX46" fmla="*/ 577117 w 593234"/>
            <a:gd name="connsiteY46" fmla="*/ 17498 h 1287498"/>
            <a:gd name="connsiteX47" fmla="*/ 564224 w 593234"/>
            <a:gd name="connsiteY47" fmla="*/ 36838 h 1287498"/>
            <a:gd name="connsiteX48" fmla="*/ 561000 w 593234"/>
            <a:gd name="connsiteY48" fmla="*/ 59401 h 1287498"/>
            <a:gd name="connsiteX49" fmla="*/ 551330 w 593234"/>
            <a:gd name="connsiteY49" fmla="*/ 62625 h 1287498"/>
            <a:gd name="connsiteX50" fmla="*/ 538437 w 593234"/>
            <a:gd name="connsiteY50" fmla="*/ 69071 h 1287498"/>
            <a:gd name="connsiteX51" fmla="*/ 490087 w 593234"/>
            <a:gd name="connsiteY51" fmla="*/ 104528 h 1287498"/>
            <a:gd name="connsiteX52" fmla="*/ 432066 w 593234"/>
            <a:gd name="connsiteY52" fmla="*/ 159325 h 1287498"/>
            <a:gd name="connsiteX53" fmla="*/ 390163 w 593234"/>
            <a:gd name="connsiteY53" fmla="*/ 214122 h 1287498"/>
            <a:gd name="connsiteX54" fmla="*/ 370823 w 593234"/>
            <a:gd name="connsiteY54" fmla="*/ 239909 h 1287498"/>
            <a:gd name="connsiteX55" fmla="*/ 322472 w 593234"/>
            <a:gd name="connsiteY55" fmla="*/ 304376 h 1287498"/>
            <a:gd name="connsiteX56" fmla="*/ 306356 w 593234"/>
            <a:gd name="connsiteY56" fmla="*/ 326939 h 1287498"/>
            <a:gd name="connsiteX57" fmla="*/ 267676 w 593234"/>
            <a:gd name="connsiteY57" fmla="*/ 401076 h 1287498"/>
            <a:gd name="connsiteX58" fmla="*/ 212879 w 593234"/>
            <a:gd name="connsiteY58" fmla="*/ 559021 h 1287498"/>
            <a:gd name="connsiteX59" fmla="*/ 199985 w 593234"/>
            <a:gd name="connsiteY59" fmla="*/ 658945 h 1287498"/>
            <a:gd name="connsiteX60" fmla="*/ 193538 w 593234"/>
            <a:gd name="connsiteY60" fmla="*/ 771762 h 1287498"/>
            <a:gd name="connsiteX61" fmla="*/ 196762 w 593234"/>
            <a:gd name="connsiteY61" fmla="*/ 974833 h 1287498"/>
            <a:gd name="connsiteX62" fmla="*/ 206432 w 593234"/>
            <a:gd name="connsiteY62" fmla="*/ 1003843 h 1287498"/>
            <a:gd name="connsiteX63" fmla="*/ 216102 w 593234"/>
            <a:gd name="connsiteY63" fmla="*/ 1029630 h 1287498"/>
            <a:gd name="connsiteX64" fmla="*/ 222549 w 593234"/>
            <a:gd name="connsiteY64" fmla="*/ 1048970 h 1287498"/>
            <a:gd name="connsiteX65" fmla="*/ 228995 w 593234"/>
            <a:gd name="connsiteY65" fmla="*/ 1065087 h 1287498"/>
            <a:gd name="connsiteX66" fmla="*/ 232219 w 593234"/>
            <a:gd name="connsiteY66" fmla="*/ 1074757 h 1287498"/>
            <a:gd name="connsiteX67" fmla="*/ 225772 w 593234"/>
            <a:gd name="connsiteY67" fmla="*/ 1065087 h 1287498"/>
            <a:gd name="connsiteX68" fmla="*/ 222549 w 593234"/>
            <a:gd name="connsiteY68" fmla="*/ 1055417 h 1287498"/>
            <a:gd name="connsiteX69" fmla="*/ 164528 w 593234"/>
            <a:gd name="connsiteY69" fmla="*/ 965163 h 1287498"/>
            <a:gd name="connsiteX70" fmla="*/ 125848 w 593234"/>
            <a:gd name="connsiteY70" fmla="*/ 849122 h 1287498"/>
            <a:gd name="connsiteX71" fmla="*/ 119401 w 593234"/>
            <a:gd name="connsiteY71" fmla="*/ 784655 h 1287498"/>
            <a:gd name="connsiteX72" fmla="*/ 112955 w 593234"/>
            <a:gd name="connsiteY72" fmla="*/ 623488 h 1287498"/>
            <a:gd name="connsiteX73" fmla="*/ 116178 w 593234"/>
            <a:gd name="connsiteY73" fmla="*/ 465543 h 1287498"/>
            <a:gd name="connsiteX74" fmla="*/ 141965 w 593234"/>
            <a:gd name="connsiteY74" fmla="*/ 365620 h 1287498"/>
            <a:gd name="connsiteX75" fmla="*/ 187092 w 593234"/>
            <a:gd name="connsiteY75" fmla="*/ 252802 h 1287498"/>
            <a:gd name="connsiteX76" fmla="*/ 196762 w 593234"/>
            <a:gd name="connsiteY76" fmla="*/ 236686 h 1287498"/>
            <a:gd name="connsiteX77" fmla="*/ 203209 w 593234"/>
            <a:gd name="connsiteY77" fmla="*/ 227016 h 1287498"/>
            <a:gd name="connsiteX78" fmla="*/ 209655 w 593234"/>
            <a:gd name="connsiteY78" fmla="*/ 214122 h 1287498"/>
            <a:gd name="connsiteX79" fmla="*/ 254782 w 593234"/>
            <a:gd name="connsiteY79" fmla="*/ 168995 h 1287498"/>
            <a:gd name="connsiteX80" fmla="*/ 325696 w 593234"/>
            <a:gd name="connsiteY80" fmla="*/ 98082 h 1287498"/>
            <a:gd name="connsiteX81" fmla="*/ 367599 w 593234"/>
            <a:gd name="connsiteY81" fmla="*/ 62625 h 1287498"/>
            <a:gd name="connsiteX82" fmla="*/ 377269 w 593234"/>
            <a:gd name="connsiteY82" fmla="*/ 59401 h 1287498"/>
            <a:gd name="connsiteX83" fmla="*/ 406280 w 593234"/>
            <a:gd name="connsiteY83" fmla="*/ 49731 h 1287498"/>
            <a:gd name="connsiteX84" fmla="*/ 425620 w 593234"/>
            <a:gd name="connsiteY84" fmla="*/ 43285 h 1287498"/>
            <a:gd name="connsiteX85" fmla="*/ 438513 w 593234"/>
            <a:gd name="connsiteY85" fmla="*/ 36838 h 1287498"/>
            <a:gd name="connsiteX86" fmla="*/ 457853 w 593234"/>
            <a:gd name="connsiteY86" fmla="*/ 30391 h 1287498"/>
            <a:gd name="connsiteX87" fmla="*/ 435290 w 593234"/>
            <a:gd name="connsiteY87" fmla="*/ 36838 h 1287498"/>
            <a:gd name="connsiteX88" fmla="*/ 412726 w 593234"/>
            <a:gd name="connsiteY88" fmla="*/ 56178 h 1287498"/>
            <a:gd name="connsiteX89" fmla="*/ 406280 w 593234"/>
            <a:gd name="connsiteY89" fmla="*/ 69071 h 1287498"/>
            <a:gd name="connsiteX90" fmla="*/ 361153 w 593234"/>
            <a:gd name="connsiteY90" fmla="*/ 130315 h 1287498"/>
            <a:gd name="connsiteX91" fmla="*/ 258005 w 593234"/>
            <a:gd name="connsiteY91" fmla="*/ 265696 h 1287498"/>
            <a:gd name="connsiteX92" fmla="*/ 203209 w 593234"/>
            <a:gd name="connsiteY92" fmla="*/ 378513 h 1287498"/>
            <a:gd name="connsiteX93" fmla="*/ 151635 w 593234"/>
            <a:gd name="connsiteY93" fmla="*/ 526787 h 1287498"/>
            <a:gd name="connsiteX94" fmla="*/ 135518 w 593234"/>
            <a:gd name="connsiteY94" fmla="*/ 584807 h 1287498"/>
            <a:gd name="connsiteX95" fmla="*/ 125848 w 593234"/>
            <a:gd name="connsiteY95" fmla="*/ 636381 h 1287498"/>
            <a:gd name="connsiteX96" fmla="*/ 119401 w 593234"/>
            <a:gd name="connsiteY96" fmla="*/ 733082 h 1287498"/>
            <a:gd name="connsiteX97" fmla="*/ 122625 w 593234"/>
            <a:gd name="connsiteY97" fmla="*/ 1119884 h 1287498"/>
            <a:gd name="connsiteX98" fmla="*/ 129071 w 593234"/>
            <a:gd name="connsiteY98" fmla="*/ 1174681 h 1287498"/>
            <a:gd name="connsiteX99" fmla="*/ 132295 w 593234"/>
            <a:gd name="connsiteY99" fmla="*/ 1194021 h 1287498"/>
            <a:gd name="connsiteX100" fmla="*/ 138742 w 593234"/>
            <a:gd name="connsiteY100" fmla="*/ 1213361 h 1287498"/>
            <a:gd name="connsiteX101" fmla="*/ 132295 w 593234"/>
            <a:gd name="connsiteY101" fmla="*/ 1161787 h 1287498"/>
            <a:gd name="connsiteX102" fmla="*/ 129071 w 593234"/>
            <a:gd name="connsiteY102" fmla="*/ 1113437 h 1287498"/>
            <a:gd name="connsiteX103" fmla="*/ 122625 w 593234"/>
            <a:gd name="connsiteY103" fmla="*/ 1042523 h 1287498"/>
            <a:gd name="connsiteX104" fmla="*/ 125848 w 593234"/>
            <a:gd name="connsiteY104" fmla="*/ 784655 h 1287498"/>
            <a:gd name="connsiteX105" fmla="*/ 180645 w 593234"/>
            <a:gd name="connsiteY105" fmla="*/ 610594 h 1287498"/>
            <a:gd name="connsiteX106" fmla="*/ 232219 w 593234"/>
            <a:gd name="connsiteY106" fmla="*/ 449427 h 1287498"/>
            <a:gd name="connsiteX107" fmla="*/ 254782 w 593234"/>
            <a:gd name="connsiteY107" fmla="*/ 391406 h 1287498"/>
            <a:gd name="connsiteX108" fmla="*/ 312802 w 593234"/>
            <a:gd name="connsiteY108" fmla="*/ 288259 h 1287498"/>
            <a:gd name="connsiteX109" fmla="*/ 325696 w 593234"/>
            <a:gd name="connsiteY109" fmla="*/ 268919 h 1287498"/>
            <a:gd name="connsiteX110" fmla="*/ 338589 w 593234"/>
            <a:gd name="connsiteY110" fmla="*/ 249579 h 1287498"/>
            <a:gd name="connsiteX111" fmla="*/ 348259 w 593234"/>
            <a:gd name="connsiteY111" fmla="*/ 236686 h 1287498"/>
            <a:gd name="connsiteX112" fmla="*/ 354706 w 593234"/>
            <a:gd name="connsiteY112" fmla="*/ 227016 h 1287498"/>
            <a:gd name="connsiteX113" fmla="*/ 377269 w 593234"/>
            <a:gd name="connsiteY113" fmla="*/ 214122 h 1287498"/>
            <a:gd name="connsiteX114" fmla="*/ 406280 w 593234"/>
            <a:gd name="connsiteY114" fmla="*/ 188335 h 1287498"/>
            <a:gd name="connsiteX115" fmla="*/ 451406 w 593234"/>
            <a:gd name="connsiteY115" fmla="*/ 139985 h 1287498"/>
            <a:gd name="connsiteX116" fmla="*/ 461077 w 593234"/>
            <a:gd name="connsiteY116" fmla="*/ 133538 h 1287498"/>
            <a:gd name="connsiteX117" fmla="*/ 480417 w 593234"/>
            <a:gd name="connsiteY117" fmla="*/ 114198 h 1287498"/>
            <a:gd name="connsiteX118" fmla="*/ 493310 w 593234"/>
            <a:gd name="connsiteY118" fmla="*/ 107752 h 1287498"/>
            <a:gd name="connsiteX119" fmla="*/ 502980 w 593234"/>
            <a:gd name="connsiteY119" fmla="*/ 101305 h 1287498"/>
            <a:gd name="connsiteX120" fmla="*/ 512650 w 593234"/>
            <a:gd name="connsiteY120" fmla="*/ 98082 h 1287498"/>
            <a:gd name="connsiteX121" fmla="*/ 528767 w 593234"/>
            <a:gd name="connsiteY121" fmla="*/ 91635 h 1287498"/>
            <a:gd name="connsiteX122" fmla="*/ 538437 w 593234"/>
            <a:gd name="connsiteY122" fmla="*/ 85188 h 1287498"/>
            <a:gd name="connsiteX123" fmla="*/ 561000 w 593234"/>
            <a:gd name="connsiteY123" fmla="*/ 78741 h 1287498"/>
            <a:gd name="connsiteX124" fmla="*/ 570670 w 593234"/>
            <a:gd name="connsiteY124" fmla="*/ 72295 h 1287498"/>
            <a:gd name="connsiteX125" fmla="*/ 561000 w 593234"/>
            <a:gd name="connsiteY125" fmla="*/ 69071 h 1287498"/>
            <a:gd name="connsiteX126" fmla="*/ 551330 w 593234"/>
            <a:gd name="connsiteY126" fmla="*/ 75518 h 1287498"/>
            <a:gd name="connsiteX127" fmla="*/ 528767 w 593234"/>
            <a:gd name="connsiteY127" fmla="*/ 81965 h 1287498"/>
            <a:gd name="connsiteX128" fmla="*/ 519097 w 593234"/>
            <a:gd name="connsiteY128" fmla="*/ 85188 h 1287498"/>
            <a:gd name="connsiteX129" fmla="*/ 496533 w 593234"/>
            <a:gd name="connsiteY129" fmla="*/ 101305 h 1287498"/>
            <a:gd name="connsiteX130" fmla="*/ 483640 w 593234"/>
            <a:gd name="connsiteY130" fmla="*/ 110975 h 1287498"/>
            <a:gd name="connsiteX131" fmla="*/ 464300 w 593234"/>
            <a:gd name="connsiteY131" fmla="*/ 123868 h 1287498"/>
            <a:gd name="connsiteX132" fmla="*/ 406280 w 593234"/>
            <a:gd name="connsiteY132" fmla="*/ 165772 h 1287498"/>
            <a:gd name="connsiteX133" fmla="*/ 264452 w 593234"/>
            <a:gd name="connsiteY133" fmla="*/ 336609 h 1287498"/>
            <a:gd name="connsiteX134" fmla="*/ 170975 w 593234"/>
            <a:gd name="connsiteY134" fmla="*/ 491330 h 1287498"/>
            <a:gd name="connsiteX135" fmla="*/ 154858 w 593234"/>
            <a:gd name="connsiteY135" fmla="*/ 539681 h 1287498"/>
            <a:gd name="connsiteX136" fmla="*/ 125848 w 593234"/>
            <a:gd name="connsiteY136" fmla="*/ 675061 h 1287498"/>
            <a:gd name="connsiteX137" fmla="*/ 116178 w 593234"/>
            <a:gd name="connsiteY137" fmla="*/ 839452 h 1287498"/>
            <a:gd name="connsiteX138" fmla="*/ 122625 w 593234"/>
            <a:gd name="connsiteY138" fmla="*/ 1145670 h 1287498"/>
            <a:gd name="connsiteX139" fmla="*/ 132295 w 593234"/>
            <a:gd name="connsiteY139" fmla="*/ 1197244 h 1287498"/>
            <a:gd name="connsiteX140" fmla="*/ 148412 w 593234"/>
            <a:gd name="connsiteY140" fmla="*/ 1255264 h 1287498"/>
            <a:gd name="connsiteX141" fmla="*/ 154858 w 593234"/>
            <a:gd name="connsiteY141" fmla="*/ 1271381 h 1287498"/>
            <a:gd name="connsiteX142" fmla="*/ 158082 w 593234"/>
            <a:gd name="connsiteY142" fmla="*/ 1281051 h 1287498"/>
            <a:gd name="connsiteX143" fmla="*/ 167752 w 593234"/>
            <a:gd name="connsiteY143" fmla="*/ 1287498 h 1287498"/>
            <a:gd name="connsiteX144" fmla="*/ 161305 w 593234"/>
            <a:gd name="connsiteY144" fmla="*/ 1268158 h 1287498"/>
            <a:gd name="connsiteX145" fmla="*/ 154858 w 593234"/>
            <a:gd name="connsiteY145" fmla="*/ 1245594 h 1287498"/>
            <a:gd name="connsiteX146" fmla="*/ 148412 w 593234"/>
            <a:gd name="connsiteY146" fmla="*/ 1232701 h 1287498"/>
            <a:gd name="connsiteX147" fmla="*/ 145188 w 593234"/>
            <a:gd name="connsiteY147" fmla="*/ 1223031 h 1287498"/>
            <a:gd name="connsiteX148" fmla="*/ 132295 w 593234"/>
            <a:gd name="connsiteY148" fmla="*/ 1206914 h 1287498"/>
            <a:gd name="connsiteX149" fmla="*/ 103285 w 593234"/>
            <a:gd name="connsiteY149" fmla="*/ 1139224 h 1287498"/>
            <a:gd name="connsiteX150" fmla="*/ 90391 w 593234"/>
            <a:gd name="connsiteY150" fmla="*/ 1110214 h 1287498"/>
            <a:gd name="connsiteX151" fmla="*/ 80721 w 593234"/>
            <a:gd name="connsiteY151" fmla="*/ 1087650 h 1287498"/>
            <a:gd name="connsiteX152" fmla="*/ 64604 w 593234"/>
            <a:gd name="connsiteY152" fmla="*/ 1039300 h 1287498"/>
            <a:gd name="connsiteX153" fmla="*/ 61381 w 593234"/>
            <a:gd name="connsiteY153" fmla="*/ 1003843 h 1287498"/>
            <a:gd name="connsiteX154" fmla="*/ 64604 w 593234"/>
            <a:gd name="connsiteY154" fmla="*/ 878132 h 1287498"/>
            <a:gd name="connsiteX155" fmla="*/ 80721 w 593234"/>
            <a:gd name="connsiteY155" fmla="*/ 745975 h 1287498"/>
            <a:gd name="connsiteX156" fmla="*/ 83945 w 593234"/>
            <a:gd name="connsiteY156" fmla="*/ 697625 h 1287498"/>
            <a:gd name="connsiteX157" fmla="*/ 87168 w 593234"/>
            <a:gd name="connsiteY157" fmla="*/ 662168 h 1287498"/>
            <a:gd name="connsiteX158" fmla="*/ 93615 w 593234"/>
            <a:gd name="connsiteY158" fmla="*/ 517117 h 1287498"/>
            <a:gd name="connsiteX159" fmla="*/ 96838 w 593234"/>
            <a:gd name="connsiteY159" fmla="*/ 394630 h 1287498"/>
            <a:gd name="connsiteX160" fmla="*/ 103285 w 593234"/>
            <a:gd name="connsiteY160" fmla="*/ 304376 h 1287498"/>
            <a:gd name="connsiteX161" fmla="*/ 109731 w 593234"/>
            <a:gd name="connsiteY161" fmla="*/ 278589 h 1287498"/>
            <a:gd name="connsiteX162" fmla="*/ 119401 w 593234"/>
            <a:gd name="connsiteY162" fmla="*/ 230239 h 1287498"/>
            <a:gd name="connsiteX163" fmla="*/ 135518 w 593234"/>
            <a:gd name="connsiteY163" fmla="*/ 198005 h 1287498"/>
            <a:gd name="connsiteX164" fmla="*/ 222549 w 593234"/>
            <a:gd name="connsiteY164" fmla="*/ 75518 h 1287498"/>
            <a:gd name="connsiteX165" fmla="*/ 238665 w 593234"/>
            <a:gd name="connsiteY165" fmla="*/ 52955 h 1287498"/>
            <a:gd name="connsiteX166" fmla="*/ 245112 w 593234"/>
            <a:gd name="connsiteY166" fmla="*/ 43285 h 1287498"/>
            <a:gd name="connsiteX167" fmla="*/ 264452 w 593234"/>
            <a:gd name="connsiteY167" fmla="*/ 46508 h 1287498"/>
            <a:gd name="connsiteX168" fmla="*/ 280569 w 593234"/>
            <a:gd name="connsiteY168" fmla="*/ 49731 h 1287498"/>
            <a:gd name="connsiteX169" fmla="*/ 328919 w 593234"/>
            <a:gd name="connsiteY169" fmla="*/ 43285 h 1287498"/>
            <a:gd name="connsiteX170" fmla="*/ 351483 w 593234"/>
            <a:gd name="connsiteY170" fmla="*/ 33615 h 1287498"/>
            <a:gd name="connsiteX171" fmla="*/ 367599 w 593234"/>
            <a:gd name="connsiteY171" fmla="*/ 23945 h 1287498"/>
            <a:gd name="connsiteX172" fmla="*/ 386939 w 593234"/>
            <a:gd name="connsiteY172" fmla="*/ 17498 h 1287498"/>
            <a:gd name="connsiteX173" fmla="*/ 377269 w 593234"/>
            <a:gd name="connsiteY173" fmla="*/ 23945 h 1287498"/>
            <a:gd name="connsiteX174" fmla="*/ 361153 w 593234"/>
            <a:gd name="connsiteY174" fmla="*/ 30391 h 1287498"/>
            <a:gd name="connsiteX175" fmla="*/ 345036 w 593234"/>
            <a:gd name="connsiteY175" fmla="*/ 43285 h 1287498"/>
            <a:gd name="connsiteX176" fmla="*/ 193538 w 593234"/>
            <a:gd name="connsiteY176" fmla="*/ 210899 h 1287498"/>
            <a:gd name="connsiteX177" fmla="*/ 87168 w 593234"/>
            <a:gd name="connsiteY177" fmla="*/ 330163 h 1287498"/>
            <a:gd name="connsiteX178" fmla="*/ 61381 w 593234"/>
            <a:gd name="connsiteY178" fmla="*/ 372066 h 1287498"/>
            <a:gd name="connsiteX179" fmla="*/ 42041 w 593234"/>
            <a:gd name="connsiteY179" fmla="*/ 407523 h 1287498"/>
            <a:gd name="connsiteX180" fmla="*/ 32371 w 593234"/>
            <a:gd name="connsiteY180" fmla="*/ 439757 h 1287498"/>
            <a:gd name="connsiteX181" fmla="*/ 22701 w 593234"/>
            <a:gd name="connsiteY181" fmla="*/ 501000 h 1287498"/>
            <a:gd name="connsiteX182" fmla="*/ 19478 w 593234"/>
            <a:gd name="connsiteY182" fmla="*/ 523564 h 1287498"/>
            <a:gd name="connsiteX183" fmla="*/ 22701 w 593234"/>
            <a:gd name="connsiteY183" fmla="*/ 597701 h 1287498"/>
            <a:gd name="connsiteX184" fmla="*/ 29148 w 593234"/>
            <a:gd name="connsiteY184" fmla="*/ 639604 h 1287498"/>
            <a:gd name="connsiteX185" fmla="*/ 54934 w 593234"/>
            <a:gd name="connsiteY185" fmla="*/ 768538 h 1287498"/>
            <a:gd name="connsiteX186" fmla="*/ 67828 w 593234"/>
            <a:gd name="connsiteY186" fmla="*/ 823335 h 1287498"/>
            <a:gd name="connsiteX187" fmla="*/ 132295 w 593234"/>
            <a:gd name="connsiteY187" fmla="*/ 949046 h 1287498"/>
            <a:gd name="connsiteX188" fmla="*/ 151635 w 593234"/>
            <a:gd name="connsiteY188" fmla="*/ 981280 h 1287498"/>
            <a:gd name="connsiteX189" fmla="*/ 248335 w 593234"/>
            <a:gd name="connsiteY189" fmla="*/ 1084427 h 1287498"/>
            <a:gd name="connsiteX190" fmla="*/ 280569 w 593234"/>
            <a:gd name="connsiteY190" fmla="*/ 1110214 h 1287498"/>
            <a:gd name="connsiteX191" fmla="*/ 332143 w 593234"/>
            <a:gd name="connsiteY191" fmla="*/ 1152117 h 1287498"/>
            <a:gd name="connsiteX192" fmla="*/ 341813 w 593234"/>
            <a:gd name="connsiteY192" fmla="*/ 1158564 h 1287498"/>
            <a:gd name="connsiteX193" fmla="*/ 332143 w 593234"/>
            <a:gd name="connsiteY193" fmla="*/ 1155340 h 1287498"/>
            <a:gd name="connsiteX194" fmla="*/ 319249 w 593234"/>
            <a:gd name="connsiteY194" fmla="*/ 1142447 h 1287498"/>
            <a:gd name="connsiteX195" fmla="*/ 303132 w 593234"/>
            <a:gd name="connsiteY195" fmla="*/ 1136000 h 1287498"/>
            <a:gd name="connsiteX196" fmla="*/ 277346 w 593234"/>
            <a:gd name="connsiteY196" fmla="*/ 1123107 h 1287498"/>
            <a:gd name="connsiteX197" fmla="*/ 245112 w 593234"/>
            <a:gd name="connsiteY197" fmla="*/ 1103767 h 1287498"/>
            <a:gd name="connsiteX198" fmla="*/ 183868 w 593234"/>
            <a:gd name="connsiteY198" fmla="*/ 1045747 h 1287498"/>
            <a:gd name="connsiteX199" fmla="*/ 129071 w 593234"/>
            <a:gd name="connsiteY199" fmla="*/ 942599 h 1287498"/>
            <a:gd name="connsiteX200" fmla="*/ 87168 w 593234"/>
            <a:gd name="connsiteY200" fmla="*/ 771762 h 1287498"/>
            <a:gd name="connsiteX201" fmla="*/ 77498 w 593234"/>
            <a:gd name="connsiteY201" fmla="*/ 675061 h 1287498"/>
            <a:gd name="connsiteX202" fmla="*/ 74274 w 593234"/>
            <a:gd name="connsiteY202" fmla="*/ 649274 h 1287498"/>
            <a:gd name="connsiteX203" fmla="*/ 83945 w 593234"/>
            <a:gd name="connsiteY203" fmla="*/ 575137 h 1287498"/>
            <a:gd name="connsiteX204" fmla="*/ 125848 w 593234"/>
            <a:gd name="connsiteY204" fmla="*/ 478437 h 1287498"/>
            <a:gd name="connsiteX205" fmla="*/ 183868 w 593234"/>
            <a:gd name="connsiteY205" fmla="*/ 375290 h 1287498"/>
            <a:gd name="connsiteX206" fmla="*/ 290239 w 593234"/>
            <a:gd name="connsiteY206" fmla="*/ 227016 h 1287498"/>
            <a:gd name="connsiteX207" fmla="*/ 319249 w 593234"/>
            <a:gd name="connsiteY207" fmla="*/ 191559 h 1287498"/>
            <a:gd name="connsiteX208" fmla="*/ 341813 w 593234"/>
            <a:gd name="connsiteY208" fmla="*/ 159325 h 1287498"/>
            <a:gd name="connsiteX209" fmla="*/ 357929 w 593234"/>
            <a:gd name="connsiteY209" fmla="*/ 139985 h 1287498"/>
            <a:gd name="connsiteX210" fmla="*/ 367599 w 593234"/>
            <a:gd name="connsiteY210" fmla="*/ 127092 h 1287498"/>
            <a:gd name="connsiteX211" fmla="*/ 383716 w 593234"/>
            <a:gd name="connsiteY211" fmla="*/ 120645 h 1287498"/>
            <a:gd name="connsiteX212" fmla="*/ 403056 w 593234"/>
            <a:gd name="connsiteY212" fmla="*/ 110975 h 1287498"/>
            <a:gd name="connsiteX213" fmla="*/ 425620 w 593234"/>
            <a:gd name="connsiteY213" fmla="*/ 98082 h 1287498"/>
            <a:gd name="connsiteX214" fmla="*/ 457853 w 593234"/>
            <a:gd name="connsiteY214" fmla="*/ 88412 h 1287498"/>
            <a:gd name="connsiteX215" fmla="*/ 477193 w 593234"/>
            <a:gd name="connsiteY215" fmla="*/ 81965 h 1287498"/>
            <a:gd name="connsiteX216" fmla="*/ 444960 w 593234"/>
            <a:gd name="connsiteY216" fmla="*/ 101305 h 1287498"/>
            <a:gd name="connsiteX217" fmla="*/ 428843 w 593234"/>
            <a:gd name="connsiteY217" fmla="*/ 110975 h 1287498"/>
            <a:gd name="connsiteX218" fmla="*/ 415950 w 593234"/>
            <a:gd name="connsiteY218" fmla="*/ 123868 h 1287498"/>
            <a:gd name="connsiteX219" fmla="*/ 403056 w 593234"/>
            <a:gd name="connsiteY219" fmla="*/ 133538 h 1287498"/>
            <a:gd name="connsiteX220" fmla="*/ 374046 w 593234"/>
            <a:gd name="connsiteY220" fmla="*/ 172219 h 1287498"/>
            <a:gd name="connsiteX221" fmla="*/ 341813 w 593234"/>
            <a:gd name="connsiteY221" fmla="*/ 207675 h 1287498"/>
            <a:gd name="connsiteX222" fmla="*/ 258005 w 593234"/>
            <a:gd name="connsiteY222" fmla="*/ 307599 h 1287498"/>
            <a:gd name="connsiteX223" fmla="*/ 180645 w 593234"/>
            <a:gd name="connsiteY223" fmla="*/ 423640 h 1287498"/>
            <a:gd name="connsiteX224" fmla="*/ 148412 w 593234"/>
            <a:gd name="connsiteY224" fmla="*/ 562244 h 1287498"/>
            <a:gd name="connsiteX225" fmla="*/ 122625 w 593234"/>
            <a:gd name="connsiteY225" fmla="*/ 736305 h 1287498"/>
            <a:gd name="connsiteX226" fmla="*/ 129071 w 593234"/>
            <a:gd name="connsiteY226" fmla="*/ 949046 h 1287498"/>
            <a:gd name="connsiteX227" fmla="*/ 154858 w 593234"/>
            <a:gd name="connsiteY227" fmla="*/ 1094097 h 1287498"/>
            <a:gd name="connsiteX228" fmla="*/ 199985 w 593234"/>
            <a:gd name="connsiteY228" fmla="*/ 1210137 h 1287498"/>
            <a:gd name="connsiteX229" fmla="*/ 232219 w 593234"/>
            <a:gd name="connsiteY229" fmla="*/ 1239148 h 1287498"/>
            <a:gd name="connsiteX230" fmla="*/ 241889 w 593234"/>
            <a:gd name="connsiteY230" fmla="*/ 1248818 h 1287498"/>
            <a:gd name="connsiteX231" fmla="*/ 261229 w 593234"/>
            <a:gd name="connsiteY231" fmla="*/ 1255264 h 1287498"/>
            <a:gd name="connsiteX232" fmla="*/ 283792 w 593234"/>
            <a:gd name="connsiteY232" fmla="*/ 1252041 h 1287498"/>
            <a:gd name="connsiteX233" fmla="*/ 274122 w 593234"/>
            <a:gd name="connsiteY233" fmla="*/ 1245594 h 1287498"/>
            <a:gd name="connsiteX234" fmla="*/ 258005 w 593234"/>
            <a:gd name="connsiteY234" fmla="*/ 1232701 h 1287498"/>
            <a:gd name="connsiteX235" fmla="*/ 232219 w 593234"/>
            <a:gd name="connsiteY235" fmla="*/ 1200467 h 1287498"/>
            <a:gd name="connsiteX236" fmla="*/ 206432 w 593234"/>
            <a:gd name="connsiteY236" fmla="*/ 1168234 h 1287498"/>
            <a:gd name="connsiteX237" fmla="*/ 138742 w 593234"/>
            <a:gd name="connsiteY237" fmla="*/ 1061863 h 1287498"/>
            <a:gd name="connsiteX238" fmla="*/ 116178 w 593234"/>
            <a:gd name="connsiteY238" fmla="*/ 1016736 h 1287498"/>
            <a:gd name="connsiteX239" fmla="*/ 103285 w 593234"/>
            <a:gd name="connsiteY239" fmla="*/ 981280 h 1287498"/>
            <a:gd name="connsiteX240" fmla="*/ 100061 w 593234"/>
            <a:gd name="connsiteY240" fmla="*/ 955493 h 1287498"/>
            <a:gd name="connsiteX241" fmla="*/ 96838 w 593234"/>
            <a:gd name="connsiteY241" fmla="*/ 936153 h 1287498"/>
            <a:gd name="connsiteX242" fmla="*/ 100061 w 593234"/>
            <a:gd name="connsiteY242" fmla="*/ 913589 h 1287498"/>
            <a:gd name="connsiteX243" fmla="*/ 132295 w 593234"/>
            <a:gd name="connsiteY243" fmla="*/ 826559 h 1287498"/>
            <a:gd name="connsiteX244" fmla="*/ 154858 w 593234"/>
            <a:gd name="connsiteY244" fmla="*/ 768538 h 1287498"/>
            <a:gd name="connsiteX245" fmla="*/ 170975 w 593234"/>
            <a:gd name="connsiteY245" fmla="*/ 720188 h 1287498"/>
            <a:gd name="connsiteX246" fmla="*/ 193538 w 593234"/>
            <a:gd name="connsiteY246" fmla="*/ 665391 h 1287498"/>
            <a:gd name="connsiteX247" fmla="*/ 196762 w 593234"/>
            <a:gd name="connsiteY247" fmla="*/ 655721 h 1287498"/>
            <a:gd name="connsiteX248" fmla="*/ 203209 w 593234"/>
            <a:gd name="connsiteY248" fmla="*/ 639604 h 1287498"/>
            <a:gd name="connsiteX249" fmla="*/ 209655 w 593234"/>
            <a:gd name="connsiteY249" fmla="*/ 617041 h 1287498"/>
            <a:gd name="connsiteX250" fmla="*/ 225772 w 593234"/>
            <a:gd name="connsiteY250" fmla="*/ 571914 h 1287498"/>
            <a:gd name="connsiteX251" fmla="*/ 241889 w 593234"/>
            <a:gd name="connsiteY251" fmla="*/ 520340 h 1287498"/>
            <a:gd name="connsiteX252" fmla="*/ 258005 w 593234"/>
            <a:gd name="connsiteY252" fmla="*/ 481660 h 1287498"/>
            <a:gd name="connsiteX253" fmla="*/ 267676 w 593234"/>
            <a:gd name="connsiteY253" fmla="*/ 449427 h 1287498"/>
            <a:gd name="connsiteX254" fmla="*/ 277346 w 593234"/>
            <a:gd name="connsiteY254" fmla="*/ 423640 h 1287498"/>
            <a:gd name="connsiteX255" fmla="*/ 280569 w 593234"/>
            <a:gd name="connsiteY255" fmla="*/ 401076 h 1287498"/>
            <a:gd name="connsiteX256" fmla="*/ 287016 w 593234"/>
            <a:gd name="connsiteY256" fmla="*/ 378513 h 1287498"/>
            <a:gd name="connsiteX257" fmla="*/ 306356 w 593234"/>
            <a:gd name="connsiteY257" fmla="*/ 323716 h 1287498"/>
            <a:gd name="connsiteX258" fmla="*/ 338589 w 593234"/>
            <a:gd name="connsiteY258" fmla="*/ 262472 h 1287498"/>
            <a:gd name="connsiteX259" fmla="*/ 361153 w 593234"/>
            <a:gd name="connsiteY259" fmla="*/ 230239 h 1287498"/>
            <a:gd name="connsiteX260" fmla="*/ 415950 w 593234"/>
            <a:gd name="connsiteY260" fmla="*/ 162549 h 1287498"/>
            <a:gd name="connsiteX261" fmla="*/ 448183 w 593234"/>
            <a:gd name="connsiteY261" fmla="*/ 123868 h 1287498"/>
            <a:gd name="connsiteX262" fmla="*/ 454630 w 593234"/>
            <a:gd name="connsiteY262" fmla="*/ 114198 h 1287498"/>
            <a:gd name="connsiteX263" fmla="*/ 419173 w 593234"/>
            <a:gd name="connsiteY263" fmla="*/ 162549 h 1287498"/>
            <a:gd name="connsiteX264" fmla="*/ 386939 w 593234"/>
            <a:gd name="connsiteY264" fmla="*/ 230239 h 1287498"/>
            <a:gd name="connsiteX265" fmla="*/ 370823 w 593234"/>
            <a:gd name="connsiteY265" fmla="*/ 285036 h 1287498"/>
            <a:gd name="connsiteX266" fmla="*/ 312802 w 593234"/>
            <a:gd name="connsiteY266" fmla="*/ 446203 h 1287498"/>
            <a:gd name="connsiteX267" fmla="*/ 248335 w 593234"/>
            <a:gd name="connsiteY267" fmla="*/ 646051 h 1287498"/>
            <a:gd name="connsiteX268" fmla="*/ 209655 w 593234"/>
            <a:gd name="connsiteY268" fmla="*/ 797549 h 1287498"/>
            <a:gd name="connsiteX269" fmla="*/ 206432 w 593234"/>
            <a:gd name="connsiteY269" fmla="*/ 968386 h 1287498"/>
            <a:gd name="connsiteX270" fmla="*/ 212879 w 593234"/>
            <a:gd name="connsiteY270" fmla="*/ 1013513 h 1287498"/>
            <a:gd name="connsiteX271" fmla="*/ 238665 w 593234"/>
            <a:gd name="connsiteY271" fmla="*/ 1097320 h 1287498"/>
            <a:gd name="connsiteX272" fmla="*/ 251559 w 593234"/>
            <a:gd name="connsiteY272" fmla="*/ 1139224 h 1287498"/>
            <a:gd name="connsiteX273" fmla="*/ 264452 w 593234"/>
            <a:gd name="connsiteY273" fmla="*/ 1181127 h 1287498"/>
            <a:gd name="connsiteX274" fmla="*/ 287016 w 593234"/>
            <a:gd name="connsiteY274" fmla="*/ 1239148 h 1287498"/>
            <a:gd name="connsiteX275" fmla="*/ 293462 w 593234"/>
            <a:gd name="connsiteY275" fmla="*/ 1261711 h 1287498"/>
            <a:gd name="connsiteX276" fmla="*/ 299909 w 593234"/>
            <a:gd name="connsiteY276" fmla="*/ 1277828 h 1287498"/>
            <a:gd name="connsiteX277" fmla="*/ 303132 w 593234"/>
            <a:gd name="connsiteY277" fmla="*/ 1287498 h 1287498"/>
            <a:gd name="connsiteX278" fmla="*/ 299909 w 593234"/>
            <a:gd name="connsiteY278" fmla="*/ 1252041 h 1287498"/>
            <a:gd name="connsiteX279" fmla="*/ 287016 w 593234"/>
            <a:gd name="connsiteY279" fmla="*/ 1206914 h 1287498"/>
            <a:gd name="connsiteX280" fmla="*/ 225772 w 593234"/>
            <a:gd name="connsiteY280" fmla="*/ 1039300 h 1287498"/>
            <a:gd name="connsiteX281" fmla="*/ 193538 w 593234"/>
            <a:gd name="connsiteY281" fmla="*/ 955493 h 1287498"/>
            <a:gd name="connsiteX282" fmla="*/ 154858 w 593234"/>
            <a:gd name="connsiteY282" fmla="*/ 829782 h 1287498"/>
            <a:gd name="connsiteX283" fmla="*/ 138742 w 593234"/>
            <a:gd name="connsiteY283" fmla="*/ 774985 h 1287498"/>
            <a:gd name="connsiteX284" fmla="*/ 138742 w 593234"/>
            <a:gd name="connsiteY284" fmla="*/ 591254 h 1287498"/>
            <a:gd name="connsiteX285" fmla="*/ 174198 w 593234"/>
            <a:gd name="connsiteY285" fmla="*/ 484884 h 1287498"/>
            <a:gd name="connsiteX286" fmla="*/ 238665 w 593234"/>
            <a:gd name="connsiteY286" fmla="*/ 343056 h 1287498"/>
            <a:gd name="connsiteX287" fmla="*/ 299909 w 593234"/>
            <a:gd name="connsiteY287" fmla="*/ 223792 h 1287498"/>
            <a:gd name="connsiteX288" fmla="*/ 312802 w 593234"/>
            <a:gd name="connsiteY288" fmla="*/ 204452 h 1287498"/>
            <a:gd name="connsiteX289" fmla="*/ 322472 w 593234"/>
            <a:gd name="connsiteY289" fmla="*/ 185112 h 1287498"/>
            <a:gd name="connsiteX290" fmla="*/ 341813 w 593234"/>
            <a:gd name="connsiteY290" fmla="*/ 162549 h 1287498"/>
            <a:gd name="connsiteX291" fmla="*/ 351483 w 593234"/>
            <a:gd name="connsiteY291" fmla="*/ 156102 h 1287498"/>
            <a:gd name="connsiteX292" fmla="*/ 383716 w 593234"/>
            <a:gd name="connsiteY292" fmla="*/ 117422 h 1287498"/>
            <a:gd name="connsiteX293" fmla="*/ 393386 w 593234"/>
            <a:gd name="connsiteY293" fmla="*/ 110975 h 1287498"/>
            <a:gd name="connsiteX294" fmla="*/ 380493 w 593234"/>
            <a:gd name="connsiteY294" fmla="*/ 120645 h 1287498"/>
            <a:gd name="connsiteX295" fmla="*/ 354706 w 593234"/>
            <a:gd name="connsiteY295" fmla="*/ 152879 h 1287498"/>
            <a:gd name="connsiteX296" fmla="*/ 283792 w 593234"/>
            <a:gd name="connsiteY296" fmla="*/ 236686 h 1287498"/>
            <a:gd name="connsiteX297" fmla="*/ 245112 w 593234"/>
            <a:gd name="connsiteY297" fmla="*/ 288259 h 1287498"/>
            <a:gd name="connsiteX298" fmla="*/ 103285 w 593234"/>
            <a:gd name="connsiteY298" fmla="*/ 478437 h 1287498"/>
            <a:gd name="connsiteX299" fmla="*/ 25924 w 593234"/>
            <a:gd name="connsiteY299" fmla="*/ 629934 h 1287498"/>
            <a:gd name="connsiteX300" fmla="*/ 16254 w 593234"/>
            <a:gd name="connsiteY300" fmla="*/ 665391 h 1287498"/>
            <a:gd name="connsiteX301" fmla="*/ 9807 w 593234"/>
            <a:gd name="connsiteY301" fmla="*/ 739528 h 1287498"/>
            <a:gd name="connsiteX302" fmla="*/ 3361 w 593234"/>
            <a:gd name="connsiteY302" fmla="*/ 839452 h 1287498"/>
            <a:gd name="connsiteX303" fmla="*/ 9807 w 593234"/>
            <a:gd name="connsiteY303" fmla="*/ 1071533 h 1287498"/>
            <a:gd name="connsiteX304" fmla="*/ 35594 w 593234"/>
            <a:gd name="connsiteY304" fmla="*/ 1145670 h 1287498"/>
            <a:gd name="connsiteX305" fmla="*/ 45264 w 593234"/>
            <a:gd name="connsiteY305" fmla="*/ 1171457 h 1287498"/>
            <a:gd name="connsiteX306" fmla="*/ 54934 w 593234"/>
            <a:gd name="connsiteY306" fmla="*/ 1187574 h 1287498"/>
            <a:gd name="connsiteX307" fmla="*/ 67828 w 593234"/>
            <a:gd name="connsiteY307" fmla="*/ 1206914 h 1287498"/>
            <a:gd name="connsiteX308" fmla="*/ 71051 w 593234"/>
            <a:gd name="connsiteY308" fmla="*/ 1197244 h 1287498"/>
            <a:gd name="connsiteX309" fmla="*/ 61381 w 593234"/>
            <a:gd name="connsiteY309" fmla="*/ 1174681 h 1287498"/>
            <a:gd name="connsiteX310" fmla="*/ 58158 w 593234"/>
            <a:gd name="connsiteY310" fmla="*/ 1165010 h 1287498"/>
            <a:gd name="connsiteX311" fmla="*/ 51711 w 593234"/>
            <a:gd name="connsiteY311" fmla="*/ 1148894 h 1287498"/>
            <a:gd name="connsiteX312" fmla="*/ 16254 w 593234"/>
            <a:gd name="connsiteY312" fmla="*/ 1036076 h 1287498"/>
            <a:gd name="connsiteX313" fmla="*/ 137 w 593234"/>
            <a:gd name="connsiteY313" fmla="*/ 842675 h 1287498"/>
            <a:gd name="connsiteX314" fmla="*/ 3361 w 593234"/>
            <a:gd name="connsiteY314" fmla="*/ 636381 h 1287498"/>
            <a:gd name="connsiteX315" fmla="*/ 6584 w 593234"/>
            <a:gd name="connsiteY315" fmla="*/ 591254 h 1287498"/>
            <a:gd name="connsiteX316" fmla="*/ 77498 w 593234"/>
            <a:gd name="connsiteY316" fmla="*/ 384960 h 1287498"/>
            <a:gd name="connsiteX317" fmla="*/ 141965 w 593234"/>
            <a:gd name="connsiteY317" fmla="*/ 246356 h 1287498"/>
            <a:gd name="connsiteX318" fmla="*/ 161305 w 593234"/>
            <a:gd name="connsiteY318" fmla="*/ 210899 h 1287498"/>
            <a:gd name="connsiteX319" fmla="*/ 174198 w 593234"/>
            <a:gd name="connsiteY319" fmla="*/ 178665 h 1287498"/>
            <a:gd name="connsiteX320" fmla="*/ 190315 w 593234"/>
            <a:gd name="connsiteY320" fmla="*/ 152879 h 1287498"/>
            <a:gd name="connsiteX321" fmla="*/ 203209 w 593234"/>
            <a:gd name="connsiteY321" fmla="*/ 127092 h 1287498"/>
            <a:gd name="connsiteX322" fmla="*/ 222549 w 593234"/>
            <a:gd name="connsiteY322" fmla="*/ 101305 h 1287498"/>
            <a:gd name="connsiteX323" fmla="*/ 235442 w 593234"/>
            <a:gd name="connsiteY323" fmla="*/ 81965 h 1287498"/>
            <a:gd name="connsiteX324" fmla="*/ 248335 w 593234"/>
            <a:gd name="connsiteY324" fmla="*/ 69071 h 1287498"/>
            <a:gd name="connsiteX325" fmla="*/ 254782 w 593234"/>
            <a:gd name="connsiteY325" fmla="*/ 59401 h 1287498"/>
            <a:gd name="connsiteX326" fmla="*/ 293462 w 593234"/>
            <a:gd name="connsiteY326" fmla="*/ 40061 h 1287498"/>
            <a:gd name="connsiteX327" fmla="*/ 309579 w 593234"/>
            <a:gd name="connsiteY327" fmla="*/ 30391 h 1287498"/>
            <a:gd name="connsiteX328" fmla="*/ 328919 w 593234"/>
            <a:gd name="connsiteY328" fmla="*/ 23945 h 1287498"/>
            <a:gd name="connsiteX329" fmla="*/ 328919 w 593234"/>
            <a:gd name="connsiteY329" fmla="*/ 40061 h 12874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</a:cxnLst>
          <a:rect l="l" t="t" r="r" b="b"/>
          <a:pathLst>
            <a:path w="593234" h="1287498">
              <a:moveTo>
                <a:pt x="499757" y="49731"/>
              </a:moveTo>
              <a:cubicBezTo>
                <a:pt x="458484" y="76437"/>
                <a:pt x="415523" y="101732"/>
                <a:pt x="380493" y="136762"/>
              </a:cubicBezTo>
              <a:cubicBezTo>
                <a:pt x="372417" y="144838"/>
                <a:pt x="365132" y="153685"/>
                <a:pt x="357929" y="162549"/>
              </a:cubicBezTo>
              <a:cubicBezTo>
                <a:pt x="351154" y="170888"/>
                <a:pt x="344283" y="179224"/>
                <a:pt x="338589" y="188335"/>
              </a:cubicBezTo>
              <a:cubicBezTo>
                <a:pt x="320126" y="217877"/>
                <a:pt x="309148" y="238653"/>
                <a:pt x="296686" y="268919"/>
              </a:cubicBezTo>
              <a:cubicBezTo>
                <a:pt x="292650" y="278720"/>
                <a:pt x="279689" y="314344"/>
                <a:pt x="277346" y="323716"/>
              </a:cubicBezTo>
              <a:cubicBezTo>
                <a:pt x="274432" y="335370"/>
                <a:pt x="273576" y="347462"/>
                <a:pt x="270899" y="359173"/>
              </a:cubicBezTo>
              <a:cubicBezTo>
                <a:pt x="264976" y="385085"/>
                <a:pt x="257841" y="410706"/>
                <a:pt x="251559" y="436533"/>
              </a:cubicBezTo>
              <a:cubicBezTo>
                <a:pt x="248171" y="450462"/>
                <a:pt x="244069" y="464269"/>
                <a:pt x="241889" y="478437"/>
              </a:cubicBezTo>
              <a:lnTo>
                <a:pt x="235442" y="520340"/>
              </a:lnTo>
              <a:cubicBezTo>
                <a:pt x="234368" y="534308"/>
                <a:pt x="233382" y="548283"/>
                <a:pt x="232219" y="562244"/>
              </a:cubicBezTo>
              <a:cubicBezTo>
                <a:pt x="231233" y="574071"/>
                <a:pt x="229672" y="585853"/>
                <a:pt x="228995" y="597701"/>
              </a:cubicBezTo>
              <a:cubicBezTo>
                <a:pt x="227523" y="623468"/>
                <a:pt x="226846" y="649274"/>
                <a:pt x="225772" y="675061"/>
              </a:cubicBezTo>
              <a:cubicBezTo>
                <a:pt x="226846" y="702997"/>
                <a:pt x="227195" y="730970"/>
                <a:pt x="228995" y="758868"/>
              </a:cubicBezTo>
              <a:cubicBezTo>
                <a:pt x="229348" y="764335"/>
                <a:pt x="230486" y="769787"/>
                <a:pt x="232219" y="774985"/>
              </a:cubicBezTo>
              <a:cubicBezTo>
                <a:pt x="235878" y="785963"/>
                <a:pt x="241453" y="796241"/>
                <a:pt x="245112" y="807219"/>
              </a:cubicBezTo>
              <a:cubicBezTo>
                <a:pt x="249862" y="821469"/>
                <a:pt x="260381" y="851162"/>
                <a:pt x="264452" y="868462"/>
              </a:cubicBezTo>
              <a:cubicBezTo>
                <a:pt x="266962" y="879128"/>
                <a:pt x="268939" y="889915"/>
                <a:pt x="270899" y="900696"/>
              </a:cubicBezTo>
              <a:cubicBezTo>
                <a:pt x="275386" y="925375"/>
                <a:pt x="277708" y="950499"/>
                <a:pt x="283792" y="974833"/>
              </a:cubicBezTo>
              <a:cubicBezTo>
                <a:pt x="285941" y="983429"/>
                <a:pt x="288383" y="991956"/>
                <a:pt x="290239" y="1000620"/>
              </a:cubicBezTo>
              <a:cubicBezTo>
                <a:pt x="298367" y="1038552"/>
                <a:pt x="287513" y="1003930"/>
                <a:pt x="299909" y="1032853"/>
              </a:cubicBezTo>
              <a:cubicBezTo>
                <a:pt x="301247" y="1035976"/>
                <a:pt x="304651" y="1045562"/>
                <a:pt x="303132" y="1042523"/>
              </a:cubicBezTo>
              <a:cubicBezTo>
                <a:pt x="300545" y="1037348"/>
                <a:pt x="299111" y="1031660"/>
                <a:pt x="296686" y="1026406"/>
              </a:cubicBezTo>
              <a:cubicBezTo>
                <a:pt x="292659" y="1017681"/>
                <a:pt x="287662" y="1009416"/>
                <a:pt x="283792" y="1000620"/>
              </a:cubicBezTo>
              <a:cubicBezTo>
                <a:pt x="275836" y="982539"/>
                <a:pt x="261229" y="945823"/>
                <a:pt x="261229" y="945823"/>
              </a:cubicBezTo>
              <a:cubicBezTo>
                <a:pt x="259080" y="927557"/>
                <a:pt x="257121" y="909268"/>
                <a:pt x="254782" y="891026"/>
              </a:cubicBezTo>
              <a:cubicBezTo>
                <a:pt x="251748" y="867363"/>
                <a:pt x="247272" y="843871"/>
                <a:pt x="245112" y="820112"/>
              </a:cubicBezTo>
              <a:cubicBezTo>
                <a:pt x="242970" y="796547"/>
                <a:pt x="243166" y="772826"/>
                <a:pt x="241889" y="749198"/>
              </a:cubicBezTo>
              <a:cubicBezTo>
                <a:pt x="241017" y="733069"/>
                <a:pt x="239740" y="716965"/>
                <a:pt x="238665" y="700848"/>
              </a:cubicBezTo>
              <a:cubicBezTo>
                <a:pt x="239740" y="675061"/>
                <a:pt x="238586" y="649085"/>
                <a:pt x="241889" y="623488"/>
              </a:cubicBezTo>
              <a:cubicBezTo>
                <a:pt x="242936" y="615372"/>
                <a:pt x="248485" y="608507"/>
                <a:pt x="251559" y="600924"/>
              </a:cubicBezTo>
              <a:cubicBezTo>
                <a:pt x="273352" y="547167"/>
                <a:pt x="292120" y="502967"/>
                <a:pt x="309579" y="449427"/>
              </a:cubicBezTo>
              <a:cubicBezTo>
                <a:pt x="319693" y="418409"/>
                <a:pt x="327134" y="386498"/>
                <a:pt x="338589" y="355950"/>
              </a:cubicBezTo>
              <a:cubicBezTo>
                <a:pt x="341812" y="347354"/>
                <a:pt x="345356" y="338872"/>
                <a:pt x="348259" y="330163"/>
              </a:cubicBezTo>
              <a:cubicBezTo>
                <a:pt x="356579" y="305202"/>
                <a:pt x="351591" y="312520"/>
                <a:pt x="361153" y="291483"/>
              </a:cubicBezTo>
              <a:cubicBezTo>
                <a:pt x="366758" y="279151"/>
                <a:pt x="376787" y="260665"/>
                <a:pt x="383716" y="249579"/>
              </a:cubicBezTo>
              <a:cubicBezTo>
                <a:pt x="389876" y="239724"/>
                <a:pt x="396838" y="230387"/>
                <a:pt x="403056" y="220569"/>
              </a:cubicBezTo>
              <a:cubicBezTo>
                <a:pt x="417255" y="198150"/>
                <a:pt x="431950" y="176008"/>
                <a:pt x="444960" y="152879"/>
              </a:cubicBezTo>
              <a:cubicBezTo>
                <a:pt x="454630" y="135688"/>
                <a:pt x="465148" y="118947"/>
                <a:pt x="473970" y="101305"/>
              </a:cubicBezTo>
              <a:cubicBezTo>
                <a:pt x="475868" y="97509"/>
                <a:pt x="482817" y="82282"/>
                <a:pt x="486863" y="78741"/>
              </a:cubicBezTo>
              <a:cubicBezTo>
                <a:pt x="492694" y="73639"/>
                <a:pt x="500005" y="70497"/>
                <a:pt x="506203" y="65848"/>
              </a:cubicBezTo>
              <a:cubicBezTo>
                <a:pt x="528393" y="49206"/>
                <a:pt x="514630" y="59156"/>
                <a:pt x="548107" y="36838"/>
              </a:cubicBezTo>
              <a:cubicBezTo>
                <a:pt x="554554" y="32540"/>
                <a:pt x="561969" y="29424"/>
                <a:pt x="567447" y="23945"/>
              </a:cubicBezTo>
              <a:cubicBezTo>
                <a:pt x="571745" y="19647"/>
                <a:pt x="575766" y="15053"/>
                <a:pt x="580340" y="11051"/>
              </a:cubicBezTo>
              <a:cubicBezTo>
                <a:pt x="584383" y="7513"/>
                <a:pt x="593234" y="6753"/>
                <a:pt x="593234" y="1381"/>
              </a:cubicBezTo>
              <a:cubicBezTo>
                <a:pt x="593234" y="-3424"/>
                <a:pt x="584638" y="5679"/>
                <a:pt x="580340" y="7828"/>
              </a:cubicBezTo>
              <a:cubicBezTo>
                <a:pt x="579266" y="11051"/>
                <a:pt x="578767" y="14528"/>
                <a:pt x="577117" y="17498"/>
              </a:cubicBezTo>
              <a:cubicBezTo>
                <a:pt x="573354" y="24271"/>
                <a:pt x="564224" y="36838"/>
                <a:pt x="564224" y="36838"/>
              </a:cubicBezTo>
              <a:cubicBezTo>
                <a:pt x="563149" y="44359"/>
                <a:pt x="564398" y="52606"/>
                <a:pt x="561000" y="59401"/>
              </a:cubicBezTo>
              <a:cubicBezTo>
                <a:pt x="559480" y="62440"/>
                <a:pt x="554453" y="61287"/>
                <a:pt x="551330" y="62625"/>
              </a:cubicBezTo>
              <a:cubicBezTo>
                <a:pt x="546914" y="64518"/>
                <a:pt x="542402" y="66358"/>
                <a:pt x="538437" y="69071"/>
              </a:cubicBezTo>
              <a:cubicBezTo>
                <a:pt x="521942" y="80357"/>
                <a:pt x="506076" y="92536"/>
                <a:pt x="490087" y="104528"/>
              </a:cubicBezTo>
              <a:cubicBezTo>
                <a:pt x="459698" y="127320"/>
                <a:pt x="457436" y="128189"/>
                <a:pt x="432066" y="159325"/>
              </a:cubicBezTo>
              <a:cubicBezTo>
                <a:pt x="417541" y="177151"/>
                <a:pt x="404076" y="195815"/>
                <a:pt x="390163" y="214122"/>
              </a:cubicBezTo>
              <a:cubicBezTo>
                <a:pt x="383662" y="222676"/>
                <a:pt x="377816" y="231751"/>
                <a:pt x="370823" y="239909"/>
              </a:cubicBezTo>
              <a:cubicBezTo>
                <a:pt x="339204" y="276797"/>
                <a:pt x="359218" y="251881"/>
                <a:pt x="322472" y="304376"/>
              </a:cubicBezTo>
              <a:cubicBezTo>
                <a:pt x="317172" y="311948"/>
                <a:pt x="310631" y="318745"/>
                <a:pt x="306356" y="326939"/>
              </a:cubicBezTo>
              <a:cubicBezTo>
                <a:pt x="293463" y="351651"/>
                <a:pt x="277738" y="375082"/>
                <a:pt x="267676" y="401076"/>
              </a:cubicBezTo>
              <a:cubicBezTo>
                <a:pt x="221749" y="519719"/>
                <a:pt x="238554" y="466586"/>
                <a:pt x="212879" y="559021"/>
              </a:cubicBezTo>
              <a:cubicBezTo>
                <a:pt x="208581" y="592329"/>
                <a:pt x="201901" y="625416"/>
                <a:pt x="199985" y="658945"/>
              </a:cubicBezTo>
              <a:lnTo>
                <a:pt x="193538" y="771762"/>
              </a:lnTo>
              <a:cubicBezTo>
                <a:pt x="194613" y="839452"/>
                <a:pt x="193007" y="907238"/>
                <a:pt x="196762" y="974833"/>
              </a:cubicBezTo>
              <a:cubicBezTo>
                <a:pt x="197327" y="985010"/>
                <a:pt x="203040" y="994231"/>
                <a:pt x="206432" y="1003843"/>
              </a:cubicBezTo>
              <a:cubicBezTo>
                <a:pt x="209487" y="1012500"/>
                <a:pt x="213014" y="1020985"/>
                <a:pt x="216102" y="1029630"/>
              </a:cubicBezTo>
              <a:cubicBezTo>
                <a:pt x="218388" y="1036030"/>
                <a:pt x="220227" y="1042584"/>
                <a:pt x="222549" y="1048970"/>
              </a:cubicBezTo>
              <a:cubicBezTo>
                <a:pt x="224526" y="1054408"/>
                <a:pt x="226963" y="1059669"/>
                <a:pt x="228995" y="1065087"/>
              </a:cubicBezTo>
              <a:cubicBezTo>
                <a:pt x="230188" y="1068268"/>
                <a:pt x="234104" y="1077584"/>
                <a:pt x="232219" y="1074757"/>
              </a:cubicBezTo>
              <a:lnTo>
                <a:pt x="225772" y="1065087"/>
              </a:lnTo>
              <a:cubicBezTo>
                <a:pt x="224698" y="1061864"/>
                <a:pt x="223887" y="1058540"/>
                <a:pt x="222549" y="1055417"/>
              </a:cubicBezTo>
              <a:cubicBezTo>
                <a:pt x="208475" y="1022576"/>
                <a:pt x="180585" y="997278"/>
                <a:pt x="164528" y="965163"/>
              </a:cubicBezTo>
              <a:cubicBezTo>
                <a:pt x="141214" y="918536"/>
                <a:pt x="139205" y="899878"/>
                <a:pt x="125848" y="849122"/>
              </a:cubicBezTo>
              <a:cubicBezTo>
                <a:pt x="123699" y="827633"/>
                <a:pt x="121101" y="806184"/>
                <a:pt x="119401" y="784655"/>
              </a:cubicBezTo>
              <a:cubicBezTo>
                <a:pt x="115686" y="737595"/>
                <a:pt x="114269" y="665536"/>
                <a:pt x="112955" y="623488"/>
              </a:cubicBezTo>
              <a:cubicBezTo>
                <a:pt x="114029" y="570840"/>
                <a:pt x="110291" y="517872"/>
                <a:pt x="116178" y="465543"/>
              </a:cubicBezTo>
              <a:cubicBezTo>
                <a:pt x="120024" y="431360"/>
                <a:pt x="130018" y="397878"/>
                <a:pt x="141965" y="365620"/>
              </a:cubicBezTo>
              <a:cubicBezTo>
                <a:pt x="162955" y="308945"/>
                <a:pt x="164892" y="294029"/>
                <a:pt x="187092" y="252802"/>
              </a:cubicBezTo>
              <a:cubicBezTo>
                <a:pt x="190062" y="247286"/>
                <a:pt x="193442" y="241999"/>
                <a:pt x="196762" y="236686"/>
              </a:cubicBezTo>
              <a:cubicBezTo>
                <a:pt x="198815" y="233401"/>
                <a:pt x="201287" y="230380"/>
                <a:pt x="203209" y="227016"/>
              </a:cubicBezTo>
              <a:cubicBezTo>
                <a:pt x="205593" y="222844"/>
                <a:pt x="206463" y="217713"/>
                <a:pt x="209655" y="214122"/>
              </a:cubicBezTo>
              <a:cubicBezTo>
                <a:pt x="223788" y="198222"/>
                <a:pt x="239740" y="184037"/>
                <a:pt x="254782" y="168995"/>
              </a:cubicBezTo>
              <a:lnTo>
                <a:pt x="325696" y="98082"/>
              </a:lnTo>
              <a:cubicBezTo>
                <a:pt x="344067" y="79711"/>
                <a:pt x="346453" y="74373"/>
                <a:pt x="367599" y="62625"/>
              </a:cubicBezTo>
              <a:cubicBezTo>
                <a:pt x="370569" y="60975"/>
                <a:pt x="374002" y="60334"/>
                <a:pt x="377269" y="59401"/>
              </a:cubicBezTo>
              <a:cubicBezTo>
                <a:pt x="411507" y="49618"/>
                <a:pt x="365504" y="64558"/>
                <a:pt x="406280" y="49731"/>
              </a:cubicBezTo>
              <a:cubicBezTo>
                <a:pt x="412666" y="47409"/>
                <a:pt x="419311" y="45809"/>
                <a:pt x="425620" y="43285"/>
              </a:cubicBezTo>
              <a:cubicBezTo>
                <a:pt x="430081" y="41500"/>
                <a:pt x="434052" y="38623"/>
                <a:pt x="438513" y="36838"/>
              </a:cubicBezTo>
              <a:cubicBezTo>
                <a:pt x="444822" y="34314"/>
                <a:pt x="464445" y="28743"/>
                <a:pt x="457853" y="30391"/>
              </a:cubicBezTo>
              <a:cubicBezTo>
                <a:pt x="441664" y="34439"/>
                <a:pt x="449163" y="32214"/>
                <a:pt x="435290" y="36838"/>
              </a:cubicBezTo>
              <a:cubicBezTo>
                <a:pt x="425546" y="43334"/>
                <a:pt x="420541" y="45758"/>
                <a:pt x="412726" y="56178"/>
              </a:cubicBezTo>
              <a:cubicBezTo>
                <a:pt x="409843" y="60022"/>
                <a:pt x="409024" y="65127"/>
                <a:pt x="406280" y="69071"/>
              </a:cubicBezTo>
              <a:cubicBezTo>
                <a:pt x="391799" y="89888"/>
                <a:pt x="377087" y="110588"/>
                <a:pt x="361153" y="130315"/>
              </a:cubicBezTo>
              <a:cubicBezTo>
                <a:pt x="340762" y="155561"/>
                <a:pt x="278711" y="227981"/>
                <a:pt x="258005" y="265696"/>
              </a:cubicBezTo>
              <a:cubicBezTo>
                <a:pt x="237885" y="302343"/>
                <a:pt x="217889" y="339368"/>
                <a:pt x="203209" y="378513"/>
              </a:cubicBezTo>
              <a:cubicBezTo>
                <a:pt x="175289" y="452963"/>
                <a:pt x="173720" y="453170"/>
                <a:pt x="151635" y="526787"/>
              </a:cubicBezTo>
              <a:cubicBezTo>
                <a:pt x="145867" y="546013"/>
                <a:pt x="140115" y="565268"/>
                <a:pt x="135518" y="584807"/>
              </a:cubicBezTo>
              <a:cubicBezTo>
                <a:pt x="131512" y="601833"/>
                <a:pt x="129071" y="619190"/>
                <a:pt x="125848" y="636381"/>
              </a:cubicBezTo>
              <a:cubicBezTo>
                <a:pt x="125044" y="647634"/>
                <a:pt x="119401" y="724772"/>
                <a:pt x="119401" y="733082"/>
              </a:cubicBezTo>
              <a:cubicBezTo>
                <a:pt x="119401" y="862020"/>
                <a:pt x="120641" y="990961"/>
                <a:pt x="122625" y="1119884"/>
              </a:cubicBezTo>
              <a:cubicBezTo>
                <a:pt x="122805" y="1131604"/>
                <a:pt x="126994" y="1161181"/>
                <a:pt x="129071" y="1174681"/>
              </a:cubicBezTo>
              <a:cubicBezTo>
                <a:pt x="130065" y="1181141"/>
                <a:pt x="130710" y="1187681"/>
                <a:pt x="132295" y="1194021"/>
              </a:cubicBezTo>
              <a:cubicBezTo>
                <a:pt x="133943" y="1200613"/>
                <a:pt x="138742" y="1213361"/>
                <a:pt x="138742" y="1213361"/>
              </a:cubicBezTo>
              <a:cubicBezTo>
                <a:pt x="136593" y="1196170"/>
                <a:pt x="133964" y="1179032"/>
                <a:pt x="132295" y="1161787"/>
              </a:cubicBezTo>
              <a:cubicBezTo>
                <a:pt x="130739" y="1145710"/>
                <a:pt x="130376" y="1129537"/>
                <a:pt x="129071" y="1113437"/>
              </a:cubicBezTo>
              <a:cubicBezTo>
                <a:pt x="127153" y="1089779"/>
                <a:pt x="124774" y="1066161"/>
                <a:pt x="122625" y="1042523"/>
              </a:cubicBezTo>
              <a:cubicBezTo>
                <a:pt x="119142" y="955473"/>
                <a:pt x="113793" y="873055"/>
                <a:pt x="125848" y="784655"/>
              </a:cubicBezTo>
              <a:cubicBezTo>
                <a:pt x="129094" y="760848"/>
                <a:pt x="169403" y="645818"/>
                <a:pt x="180645" y="610594"/>
              </a:cubicBezTo>
              <a:cubicBezTo>
                <a:pt x="192713" y="572781"/>
                <a:pt x="217382" y="487581"/>
                <a:pt x="232219" y="449427"/>
              </a:cubicBezTo>
              <a:cubicBezTo>
                <a:pt x="239740" y="430087"/>
                <a:pt x="246406" y="410392"/>
                <a:pt x="254782" y="391406"/>
              </a:cubicBezTo>
              <a:cubicBezTo>
                <a:pt x="274610" y="346463"/>
                <a:pt x="286231" y="330014"/>
                <a:pt x="312802" y="288259"/>
              </a:cubicBezTo>
              <a:cubicBezTo>
                <a:pt x="316962" y="281722"/>
                <a:pt x="321398" y="275366"/>
                <a:pt x="325696" y="268919"/>
              </a:cubicBezTo>
              <a:cubicBezTo>
                <a:pt x="329994" y="262472"/>
                <a:pt x="333940" y="255777"/>
                <a:pt x="338589" y="249579"/>
              </a:cubicBezTo>
              <a:cubicBezTo>
                <a:pt x="341812" y="245281"/>
                <a:pt x="345136" y="241057"/>
                <a:pt x="348259" y="236686"/>
              </a:cubicBezTo>
              <a:cubicBezTo>
                <a:pt x="350511" y="233534"/>
                <a:pt x="351967" y="229755"/>
                <a:pt x="354706" y="227016"/>
              </a:cubicBezTo>
              <a:cubicBezTo>
                <a:pt x="360621" y="221101"/>
                <a:pt x="370527" y="218336"/>
                <a:pt x="377269" y="214122"/>
              </a:cubicBezTo>
              <a:cubicBezTo>
                <a:pt x="388405" y="207162"/>
                <a:pt x="397446" y="197972"/>
                <a:pt x="406280" y="188335"/>
              </a:cubicBezTo>
              <a:cubicBezTo>
                <a:pt x="417398" y="176206"/>
                <a:pt x="438413" y="148647"/>
                <a:pt x="451406" y="139985"/>
              </a:cubicBezTo>
              <a:cubicBezTo>
                <a:pt x="454630" y="137836"/>
                <a:pt x="458181" y="136112"/>
                <a:pt x="461077" y="133538"/>
              </a:cubicBezTo>
              <a:cubicBezTo>
                <a:pt x="467891" y="127481"/>
                <a:pt x="472262" y="118275"/>
                <a:pt x="480417" y="114198"/>
              </a:cubicBezTo>
              <a:cubicBezTo>
                <a:pt x="484715" y="112049"/>
                <a:pt x="489138" y="110136"/>
                <a:pt x="493310" y="107752"/>
              </a:cubicBezTo>
              <a:cubicBezTo>
                <a:pt x="496674" y="105830"/>
                <a:pt x="499515" y="103038"/>
                <a:pt x="502980" y="101305"/>
              </a:cubicBezTo>
              <a:cubicBezTo>
                <a:pt x="506019" y="99786"/>
                <a:pt x="509469" y="99275"/>
                <a:pt x="512650" y="98082"/>
              </a:cubicBezTo>
              <a:cubicBezTo>
                <a:pt x="518068" y="96050"/>
                <a:pt x="523592" y="94223"/>
                <a:pt x="528767" y="91635"/>
              </a:cubicBezTo>
              <a:cubicBezTo>
                <a:pt x="532232" y="89902"/>
                <a:pt x="534876" y="86714"/>
                <a:pt x="538437" y="85188"/>
              </a:cubicBezTo>
              <a:cubicBezTo>
                <a:pt x="552921" y="78981"/>
                <a:pt x="548436" y="85023"/>
                <a:pt x="561000" y="78741"/>
              </a:cubicBezTo>
              <a:cubicBezTo>
                <a:pt x="564465" y="77009"/>
                <a:pt x="567447" y="74444"/>
                <a:pt x="570670" y="72295"/>
              </a:cubicBezTo>
              <a:cubicBezTo>
                <a:pt x="567447" y="71220"/>
                <a:pt x="564352" y="68512"/>
                <a:pt x="561000" y="69071"/>
              </a:cubicBezTo>
              <a:cubicBezTo>
                <a:pt x="557179" y="69708"/>
                <a:pt x="554795" y="73785"/>
                <a:pt x="551330" y="75518"/>
              </a:cubicBezTo>
              <a:cubicBezTo>
                <a:pt x="546183" y="78091"/>
                <a:pt x="533579" y="80590"/>
                <a:pt x="528767" y="81965"/>
              </a:cubicBezTo>
              <a:cubicBezTo>
                <a:pt x="525500" y="82898"/>
                <a:pt x="522320" y="84114"/>
                <a:pt x="519097" y="85188"/>
              </a:cubicBezTo>
              <a:cubicBezTo>
                <a:pt x="476916" y="116822"/>
                <a:pt x="529557" y="77716"/>
                <a:pt x="496533" y="101305"/>
              </a:cubicBezTo>
              <a:cubicBezTo>
                <a:pt x="492162" y="104428"/>
                <a:pt x="488041" y="107894"/>
                <a:pt x="483640" y="110975"/>
              </a:cubicBezTo>
              <a:cubicBezTo>
                <a:pt x="477293" y="115418"/>
                <a:pt x="470622" y="119390"/>
                <a:pt x="464300" y="123868"/>
              </a:cubicBezTo>
              <a:cubicBezTo>
                <a:pt x="444832" y="137658"/>
                <a:pt x="423149" y="148903"/>
                <a:pt x="406280" y="165772"/>
              </a:cubicBezTo>
              <a:cubicBezTo>
                <a:pt x="343630" y="228422"/>
                <a:pt x="324769" y="243392"/>
                <a:pt x="264452" y="336609"/>
              </a:cubicBezTo>
              <a:cubicBezTo>
                <a:pt x="236395" y="379969"/>
                <a:pt x="192901" y="438342"/>
                <a:pt x="170975" y="491330"/>
              </a:cubicBezTo>
              <a:cubicBezTo>
                <a:pt x="164479" y="507028"/>
                <a:pt x="159652" y="523383"/>
                <a:pt x="154858" y="539681"/>
              </a:cubicBezTo>
              <a:cubicBezTo>
                <a:pt x="136190" y="603154"/>
                <a:pt x="137807" y="606301"/>
                <a:pt x="125848" y="675061"/>
              </a:cubicBezTo>
              <a:cubicBezTo>
                <a:pt x="123543" y="707331"/>
                <a:pt x="115869" y="802970"/>
                <a:pt x="116178" y="839452"/>
              </a:cubicBezTo>
              <a:cubicBezTo>
                <a:pt x="117043" y="941544"/>
                <a:pt x="118031" y="1043678"/>
                <a:pt x="122625" y="1145670"/>
              </a:cubicBezTo>
              <a:cubicBezTo>
                <a:pt x="123412" y="1163143"/>
                <a:pt x="128289" y="1180218"/>
                <a:pt x="132295" y="1197244"/>
              </a:cubicBezTo>
              <a:cubicBezTo>
                <a:pt x="136892" y="1216783"/>
                <a:pt x="140958" y="1236627"/>
                <a:pt x="148412" y="1255264"/>
              </a:cubicBezTo>
              <a:cubicBezTo>
                <a:pt x="150561" y="1260636"/>
                <a:pt x="152826" y="1265963"/>
                <a:pt x="154858" y="1271381"/>
              </a:cubicBezTo>
              <a:cubicBezTo>
                <a:pt x="156051" y="1274562"/>
                <a:pt x="155959" y="1278398"/>
                <a:pt x="158082" y="1281051"/>
              </a:cubicBezTo>
              <a:cubicBezTo>
                <a:pt x="160502" y="1284076"/>
                <a:pt x="164529" y="1285349"/>
                <a:pt x="167752" y="1287498"/>
              </a:cubicBezTo>
              <a:cubicBezTo>
                <a:pt x="165603" y="1281051"/>
                <a:pt x="163258" y="1274667"/>
                <a:pt x="161305" y="1268158"/>
              </a:cubicBezTo>
              <a:cubicBezTo>
                <a:pt x="158575" y="1259057"/>
                <a:pt x="158473" y="1254030"/>
                <a:pt x="154858" y="1245594"/>
              </a:cubicBezTo>
              <a:cubicBezTo>
                <a:pt x="152965" y="1241178"/>
                <a:pt x="150305" y="1237117"/>
                <a:pt x="148412" y="1232701"/>
              </a:cubicBezTo>
              <a:cubicBezTo>
                <a:pt x="147074" y="1229578"/>
                <a:pt x="146989" y="1225912"/>
                <a:pt x="145188" y="1223031"/>
              </a:cubicBezTo>
              <a:cubicBezTo>
                <a:pt x="141542" y="1217197"/>
                <a:pt x="135372" y="1213068"/>
                <a:pt x="132295" y="1206914"/>
              </a:cubicBezTo>
              <a:cubicBezTo>
                <a:pt x="121317" y="1184957"/>
                <a:pt x="113046" y="1161748"/>
                <a:pt x="103285" y="1139224"/>
              </a:cubicBezTo>
              <a:cubicBezTo>
                <a:pt x="99077" y="1129514"/>
                <a:pt x="94633" y="1119909"/>
                <a:pt x="90391" y="1110214"/>
              </a:cubicBezTo>
              <a:cubicBezTo>
                <a:pt x="87111" y="1102717"/>
                <a:pt x="82969" y="1095518"/>
                <a:pt x="80721" y="1087650"/>
              </a:cubicBezTo>
              <a:cubicBezTo>
                <a:pt x="71752" y="1056260"/>
                <a:pt x="77020" y="1072411"/>
                <a:pt x="64604" y="1039300"/>
              </a:cubicBezTo>
              <a:cubicBezTo>
                <a:pt x="63530" y="1027481"/>
                <a:pt x="61381" y="1015711"/>
                <a:pt x="61381" y="1003843"/>
              </a:cubicBezTo>
              <a:cubicBezTo>
                <a:pt x="61381" y="961926"/>
                <a:pt x="62511" y="919997"/>
                <a:pt x="64604" y="878132"/>
              </a:cubicBezTo>
              <a:cubicBezTo>
                <a:pt x="67049" y="829223"/>
                <a:pt x="73500" y="794113"/>
                <a:pt x="80721" y="745975"/>
              </a:cubicBezTo>
              <a:cubicBezTo>
                <a:pt x="81796" y="729858"/>
                <a:pt x="82706" y="713730"/>
                <a:pt x="83945" y="697625"/>
              </a:cubicBezTo>
              <a:cubicBezTo>
                <a:pt x="84855" y="685792"/>
                <a:pt x="86629" y="674023"/>
                <a:pt x="87168" y="662168"/>
              </a:cubicBezTo>
              <a:cubicBezTo>
                <a:pt x="94758" y="495177"/>
                <a:pt x="85995" y="608541"/>
                <a:pt x="93615" y="517117"/>
              </a:cubicBezTo>
              <a:cubicBezTo>
                <a:pt x="94689" y="476288"/>
                <a:pt x="95354" y="435446"/>
                <a:pt x="96838" y="394630"/>
              </a:cubicBezTo>
              <a:cubicBezTo>
                <a:pt x="97155" y="385902"/>
                <a:pt x="100741" y="320490"/>
                <a:pt x="103285" y="304376"/>
              </a:cubicBezTo>
              <a:cubicBezTo>
                <a:pt x="104667" y="295624"/>
                <a:pt x="107875" y="287252"/>
                <a:pt x="109731" y="278589"/>
              </a:cubicBezTo>
              <a:cubicBezTo>
                <a:pt x="113148" y="262641"/>
                <a:pt x="113713" y="245678"/>
                <a:pt x="119401" y="230239"/>
              </a:cubicBezTo>
              <a:cubicBezTo>
                <a:pt x="123554" y="218967"/>
                <a:pt x="129515" y="208410"/>
                <a:pt x="135518" y="198005"/>
              </a:cubicBezTo>
              <a:cubicBezTo>
                <a:pt x="170788" y="136871"/>
                <a:pt x="174213" y="139234"/>
                <a:pt x="222549" y="75518"/>
              </a:cubicBezTo>
              <a:cubicBezTo>
                <a:pt x="228135" y="68155"/>
                <a:pt x="233365" y="60527"/>
                <a:pt x="238665" y="52955"/>
              </a:cubicBezTo>
              <a:cubicBezTo>
                <a:pt x="240887" y="49781"/>
                <a:pt x="245112" y="43285"/>
                <a:pt x="245112" y="43285"/>
              </a:cubicBezTo>
              <a:lnTo>
                <a:pt x="264452" y="46508"/>
              </a:lnTo>
              <a:cubicBezTo>
                <a:pt x="269842" y="47488"/>
                <a:pt x="275097" y="50005"/>
                <a:pt x="280569" y="49731"/>
              </a:cubicBezTo>
              <a:cubicBezTo>
                <a:pt x="296808" y="48919"/>
                <a:pt x="312802" y="45434"/>
                <a:pt x="328919" y="43285"/>
              </a:cubicBezTo>
              <a:cubicBezTo>
                <a:pt x="336440" y="40062"/>
                <a:pt x="344164" y="37275"/>
                <a:pt x="351483" y="33615"/>
              </a:cubicBezTo>
              <a:cubicBezTo>
                <a:pt x="357086" y="30813"/>
                <a:pt x="361896" y="26537"/>
                <a:pt x="367599" y="23945"/>
              </a:cubicBezTo>
              <a:cubicBezTo>
                <a:pt x="373785" y="21133"/>
                <a:pt x="386939" y="17498"/>
                <a:pt x="386939" y="17498"/>
              </a:cubicBezTo>
              <a:cubicBezTo>
                <a:pt x="434447" y="23436"/>
                <a:pt x="407729" y="18234"/>
                <a:pt x="377269" y="23945"/>
              </a:cubicBezTo>
              <a:cubicBezTo>
                <a:pt x="371582" y="25011"/>
                <a:pt x="366525" y="28242"/>
                <a:pt x="361153" y="30391"/>
              </a:cubicBezTo>
              <a:cubicBezTo>
                <a:pt x="355781" y="34689"/>
                <a:pt x="350013" y="38534"/>
                <a:pt x="345036" y="43285"/>
              </a:cubicBezTo>
              <a:cubicBezTo>
                <a:pt x="264695" y="119974"/>
                <a:pt x="288875" y="103646"/>
                <a:pt x="193538" y="210899"/>
              </a:cubicBezTo>
              <a:cubicBezTo>
                <a:pt x="143888" y="266754"/>
                <a:pt x="130526" y="271724"/>
                <a:pt x="87168" y="330163"/>
              </a:cubicBezTo>
              <a:cubicBezTo>
                <a:pt x="77396" y="343334"/>
                <a:pt x="69645" y="357899"/>
                <a:pt x="61381" y="372066"/>
              </a:cubicBezTo>
              <a:cubicBezTo>
                <a:pt x="54597" y="383695"/>
                <a:pt x="47344" y="395149"/>
                <a:pt x="42041" y="407523"/>
              </a:cubicBezTo>
              <a:cubicBezTo>
                <a:pt x="37622" y="417834"/>
                <a:pt x="35092" y="428874"/>
                <a:pt x="32371" y="439757"/>
              </a:cubicBezTo>
              <a:cubicBezTo>
                <a:pt x="24856" y="469817"/>
                <a:pt x="26388" y="471501"/>
                <a:pt x="22701" y="501000"/>
              </a:cubicBezTo>
              <a:cubicBezTo>
                <a:pt x="21759" y="508539"/>
                <a:pt x="20552" y="516043"/>
                <a:pt x="19478" y="523564"/>
              </a:cubicBezTo>
              <a:cubicBezTo>
                <a:pt x="20552" y="548276"/>
                <a:pt x="20647" y="573051"/>
                <a:pt x="22701" y="597701"/>
              </a:cubicBezTo>
              <a:cubicBezTo>
                <a:pt x="23875" y="611784"/>
                <a:pt x="26528" y="625717"/>
                <a:pt x="29148" y="639604"/>
              </a:cubicBezTo>
              <a:cubicBezTo>
                <a:pt x="37274" y="682673"/>
                <a:pt x="44895" y="725874"/>
                <a:pt x="54934" y="768538"/>
              </a:cubicBezTo>
              <a:cubicBezTo>
                <a:pt x="59232" y="786804"/>
                <a:pt x="61323" y="805734"/>
                <a:pt x="67828" y="823335"/>
              </a:cubicBezTo>
              <a:cubicBezTo>
                <a:pt x="106193" y="927148"/>
                <a:pt x="93568" y="889466"/>
                <a:pt x="132295" y="949046"/>
              </a:cubicBezTo>
              <a:cubicBezTo>
                <a:pt x="139124" y="959552"/>
                <a:pt x="144053" y="971304"/>
                <a:pt x="151635" y="981280"/>
              </a:cubicBezTo>
              <a:cubicBezTo>
                <a:pt x="169617" y="1004941"/>
                <a:pt x="227921" y="1068096"/>
                <a:pt x="248335" y="1084427"/>
              </a:cubicBezTo>
              <a:cubicBezTo>
                <a:pt x="259080" y="1093023"/>
                <a:pt x="270251" y="1101110"/>
                <a:pt x="280569" y="1110214"/>
              </a:cubicBezTo>
              <a:cubicBezTo>
                <a:pt x="328143" y="1152190"/>
                <a:pt x="275933" y="1114644"/>
                <a:pt x="332143" y="1152117"/>
              </a:cubicBezTo>
              <a:cubicBezTo>
                <a:pt x="335366" y="1154266"/>
                <a:pt x="345488" y="1159789"/>
                <a:pt x="341813" y="1158564"/>
              </a:cubicBezTo>
              <a:lnTo>
                <a:pt x="332143" y="1155340"/>
              </a:lnTo>
              <a:cubicBezTo>
                <a:pt x="327845" y="1151042"/>
                <a:pt x="324306" y="1145818"/>
                <a:pt x="319249" y="1142447"/>
              </a:cubicBezTo>
              <a:cubicBezTo>
                <a:pt x="314435" y="1139237"/>
                <a:pt x="308386" y="1138425"/>
                <a:pt x="303132" y="1136000"/>
              </a:cubicBezTo>
              <a:cubicBezTo>
                <a:pt x="294407" y="1131973"/>
                <a:pt x="285747" y="1127774"/>
                <a:pt x="277346" y="1123107"/>
              </a:cubicBezTo>
              <a:cubicBezTo>
                <a:pt x="266393" y="1117022"/>
                <a:pt x="255377" y="1110953"/>
                <a:pt x="245112" y="1103767"/>
              </a:cubicBezTo>
              <a:cubicBezTo>
                <a:pt x="221230" y="1087050"/>
                <a:pt x="201452" y="1069192"/>
                <a:pt x="183868" y="1045747"/>
              </a:cubicBezTo>
              <a:cubicBezTo>
                <a:pt x="159616" y="1013411"/>
                <a:pt x="142945" y="980752"/>
                <a:pt x="129071" y="942599"/>
              </a:cubicBezTo>
              <a:cubicBezTo>
                <a:pt x="105233" y="877042"/>
                <a:pt x="97883" y="840645"/>
                <a:pt x="87168" y="771762"/>
              </a:cubicBezTo>
              <a:cubicBezTo>
                <a:pt x="80883" y="731362"/>
                <a:pt x="81279" y="712868"/>
                <a:pt x="77498" y="675061"/>
              </a:cubicBezTo>
              <a:cubicBezTo>
                <a:pt x="76636" y="666441"/>
                <a:pt x="75349" y="657870"/>
                <a:pt x="74274" y="649274"/>
              </a:cubicBezTo>
              <a:cubicBezTo>
                <a:pt x="77498" y="624562"/>
                <a:pt x="78201" y="599388"/>
                <a:pt x="83945" y="575137"/>
              </a:cubicBezTo>
              <a:cubicBezTo>
                <a:pt x="87906" y="558412"/>
                <a:pt x="118469" y="493194"/>
                <a:pt x="125848" y="478437"/>
              </a:cubicBezTo>
              <a:cubicBezTo>
                <a:pt x="135897" y="458339"/>
                <a:pt x="175701" y="386957"/>
                <a:pt x="183868" y="375290"/>
              </a:cubicBezTo>
              <a:cubicBezTo>
                <a:pt x="225871" y="315287"/>
                <a:pt x="248711" y="280409"/>
                <a:pt x="290239" y="227016"/>
              </a:cubicBezTo>
              <a:cubicBezTo>
                <a:pt x="299614" y="214962"/>
                <a:pt x="310492" y="204069"/>
                <a:pt x="319249" y="191559"/>
              </a:cubicBezTo>
              <a:cubicBezTo>
                <a:pt x="326770" y="180814"/>
                <a:pt x="333944" y="169818"/>
                <a:pt x="341813" y="159325"/>
              </a:cubicBezTo>
              <a:cubicBezTo>
                <a:pt x="346848" y="152612"/>
                <a:pt x="352687" y="146538"/>
                <a:pt x="357929" y="139985"/>
              </a:cubicBezTo>
              <a:cubicBezTo>
                <a:pt x="361285" y="135790"/>
                <a:pt x="363301" y="130315"/>
                <a:pt x="367599" y="127092"/>
              </a:cubicBezTo>
              <a:cubicBezTo>
                <a:pt x="372228" y="123620"/>
                <a:pt x="378448" y="123039"/>
                <a:pt x="383716" y="120645"/>
              </a:cubicBezTo>
              <a:cubicBezTo>
                <a:pt x="390278" y="117662"/>
                <a:pt x="396710" y="114392"/>
                <a:pt x="403056" y="110975"/>
              </a:cubicBezTo>
              <a:cubicBezTo>
                <a:pt x="410683" y="106868"/>
                <a:pt x="417755" y="101712"/>
                <a:pt x="425620" y="98082"/>
              </a:cubicBezTo>
              <a:cubicBezTo>
                <a:pt x="439737" y="91567"/>
                <a:pt x="444512" y="92414"/>
                <a:pt x="457853" y="88412"/>
              </a:cubicBezTo>
              <a:cubicBezTo>
                <a:pt x="464362" y="86459"/>
                <a:pt x="483502" y="79441"/>
                <a:pt x="477193" y="81965"/>
              </a:cubicBezTo>
              <a:cubicBezTo>
                <a:pt x="448904" y="93282"/>
                <a:pt x="472474" y="82046"/>
                <a:pt x="444960" y="101305"/>
              </a:cubicBezTo>
              <a:cubicBezTo>
                <a:pt x="439827" y="104898"/>
                <a:pt x="433788" y="107129"/>
                <a:pt x="428843" y="110975"/>
              </a:cubicBezTo>
              <a:cubicBezTo>
                <a:pt x="424045" y="114706"/>
                <a:pt x="420524" y="119866"/>
                <a:pt x="415950" y="123868"/>
              </a:cubicBezTo>
              <a:cubicBezTo>
                <a:pt x="411907" y="127406"/>
                <a:pt x="406855" y="129739"/>
                <a:pt x="403056" y="133538"/>
              </a:cubicBezTo>
              <a:cubicBezTo>
                <a:pt x="392754" y="143840"/>
                <a:pt x="382923" y="161566"/>
                <a:pt x="374046" y="172219"/>
              </a:cubicBezTo>
              <a:cubicBezTo>
                <a:pt x="363821" y="184489"/>
                <a:pt x="352208" y="195548"/>
                <a:pt x="341813" y="207675"/>
              </a:cubicBezTo>
              <a:cubicBezTo>
                <a:pt x="313521" y="240682"/>
                <a:pt x="284863" y="273416"/>
                <a:pt x="258005" y="307599"/>
              </a:cubicBezTo>
              <a:cubicBezTo>
                <a:pt x="229467" y="343920"/>
                <a:pt x="198053" y="380120"/>
                <a:pt x="180645" y="423640"/>
              </a:cubicBezTo>
              <a:cubicBezTo>
                <a:pt x="168167" y="454836"/>
                <a:pt x="148723" y="560431"/>
                <a:pt x="148412" y="562244"/>
              </a:cubicBezTo>
              <a:cubicBezTo>
                <a:pt x="125602" y="695293"/>
                <a:pt x="133065" y="637116"/>
                <a:pt x="122625" y="736305"/>
              </a:cubicBezTo>
              <a:cubicBezTo>
                <a:pt x="124774" y="807219"/>
                <a:pt x="124352" y="878257"/>
                <a:pt x="129071" y="949046"/>
              </a:cubicBezTo>
              <a:cubicBezTo>
                <a:pt x="130060" y="963882"/>
                <a:pt x="150852" y="1075567"/>
                <a:pt x="154858" y="1094097"/>
              </a:cubicBezTo>
              <a:cubicBezTo>
                <a:pt x="163647" y="1134748"/>
                <a:pt x="174071" y="1176449"/>
                <a:pt x="199985" y="1210137"/>
              </a:cubicBezTo>
              <a:cubicBezTo>
                <a:pt x="210453" y="1223745"/>
                <a:pt x="219690" y="1228185"/>
                <a:pt x="232219" y="1239148"/>
              </a:cubicBezTo>
              <a:cubicBezTo>
                <a:pt x="235650" y="1242150"/>
                <a:pt x="237904" y="1246604"/>
                <a:pt x="241889" y="1248818"/>
              </a:cubicBezTo>
              <a:cubicBezTo>
                <a:pt x="247829" y="1252118"/>
                <a:pt x="261229" y="1255264"/>
                <a:pt x="261229" y="1255264"/>
              </a:cubicBezTo>
              <a:cubicBezTo>
                <a:pt x="268750" y="1254190"/>
                <a:pt x="277714" y="1256599"/>
                <a:pt x="283792" y="1252041"/>
              </a:cubicBezTo>
              <a:cubicBezTo>
                <a:pt x="286891" y="1249717"/>
                <a:pt x="277221" y="1247918"/>
                <a:pt x="274122" y="1245594"/>
              </a:cubicBezTo>
              <a:cubicBezTo>
                <a:pt x="268618" y="1241466"/>
                <a:pt x="263147" y="1237272"/>
                <a:pt x="258005" y="1232701"/>
              </a:cubicBezTo>
              <a:cubicBezTo>
                <a:pt x="239443" y="1216201"/>
                <a:pt x="248726" y="1222477"/>
                <a:pt x="232219" y="1200467"/>
              </a:cubicBezTo>
              <a:cubicBezTo>
                <a:pt x="223963" y="1189459"/>
                <a:pt x="214550" y="1179343"/>
                <a:pt x="206432" y="1168234"/>
              </a:cubicBezTo>
              <a:cubicBezTo>
                <a:pt x="179389" y="1131228"/>
                <a:pt x="160810" y="1102105"/>
                <a:pt x="138742" y="1061863"/>
              </a:cubicBezTo>
              <a:cubicBezTo>
                <a:pt x="130655" y="1047117"/>
                <a:pt x="122951" y="1032130"/>
                <a:pt x="116178" y="1016736"/>
              </a:cubicBezTo>
              <a:cubicBezTo>
                <a:pt x="111113" y="1005225"/>
                <a:pt x="107583" y="993099"/>
                <a:pt x="103285" y="981280"/>
              </a:cubicBezTo>
              <a:cubicBezTo>
                <a:pt x="102210" y="972684"/>
                <a:pt x="101286" y="964069"/>
                <a:pt x="100061" y="955493"/>
              </a:cubicBezTo>
              <a:cubicBezTo>
                <a:pt x="99137" y="949023"/>
                <a:pt x="96838" y="942689"/>
                <a:pt x="96838" y="936153"/>
              </a:cubicBezTo>
              <a:cubicBezTo>
                <a:pt x="96838" y="928555"/>
                <a:pt x="98413" y="921006"/>
                <a:pt x="100061" y="913589"/>
              </a:cubicBezTo>
              <a:cubicBezTo>
                <a:pt x="110029" y="868732"/>
                <a:pt x="111927" y="876025"/>
                <a:pt x="132295" y="826559"/>
              </a:cubicBezTo>
              <a:cubicBezTo>
                <a:pt x="140196" y="807371"/>
                <a:pt x="147766" y="788040"/>
                <a:pt x="154858" y="768538"/>
              </a:cubicBezTo>
              <a:cubicBezTo>
                <a:pt x="160664" y="752572"/>
                <a:pt x="165010" y="736095"/>
                <a:pt x="170975" y="720188"/>
              </a:cubicBezTo>
              <a:cubicBezTo>
                <a:pt x="177911" y="701692"/>
                <a:pt x="187290" y="684130"/>
                <a:pt x="193538" y="665391"/>
              </a:cubicBezTo>
              <a:cubicBezTo>
                <a:pt x="194613" y="662168"/>
                <a:pt x="195569" y="658902"/>
                <a:pt x="196762" y="655721"/>
              </a:cubicBezTo>
              <a:cubicBezTo>
                <a:pt x="198794" y="650303"/>
                <a:pt x="201379" y="645093"/>
                <a:pt x="203209" y="639604"/>
              </a:cubicBezTo>
              <a:cubicBezTo>
                <a:pt x="205682" y="632183"/>
                <a:pt x="207182" y="624462"/>
                <a:pt x="209655" y="617041"/>
              </a:cubicBezTo>
              <a:cubicBezTo>
                <a:pt x="214706" y="601888"/>
                <a:pt x="220721" y="587067"/>
                <a:pt x="225772" y="571914"/>
              </a:cubicBezTo>
              <a:cubicBezTo>
                <a:pt x="231468" y="554827"/>
                <a:pt x="235831" y="537302"/>
                <a:pt x="241889" y="520340"/>
              </a:cubicBezTo>
              <a:cubicBezTo>
                <a:pt x="246587" y="507186"/>
                <a:pt x="253232" y="494787"/>
                <a:pt x="258005" y="481660"/>
              </a:cubicBezTo>
              <a:cubicBezTo>
                <a:pt x="261839" y="471118"/>
                <a:pt x="264129" y="460069"/>
                <a:pt x="267676" y="449427"/>
              </a:cubicBezTo>
              <a:cubicBezTo>
                <a:pt x="270579" y="440718"/>
                <a:pt x="274123" y="432236"/>
                <a:pt x="277346" y="423640"/>
              </a:cubicBezTo>
              <a:cubicBezTo>
                <a:pt x="278420" y="416119"/>
                <a:pt x="278977" y="408505"/>
                <a:pt x="280569" y="401076"/>
              </a:cubicBezTo>
              <a:cubicBezTo>
                <a:pt x="282208" y="393428"/>
                <a:pt x="284661" y="385972"/>
                <a:pt x="287016" y="378513"/>
              </a:cubicBezTo>
              <a:cubicBezTo>
                <a:pt x="289666" y="370120"/>
                <a:pt x="300001" y="337220"/>
                <a:pt x="306356" y="323716"/>
              </a:cubicBezTo>
              <a:cubicBezTo>
                <a:pt x="312785" y="310055"/>
                <a:pt x="328631" y="277861"/>
                <a:pt x="338589" y="262472"/>
              </a:cubicBezTo>
              <a:cubicBezTo>
                <a:pt x="345714" y="251461"/>
                <a:pt x="353124" y="240610"/>
                <a:pt x="361153" y="230239"/>
              </a:cubicBezTo>
              <a:cubicBezTo>
                <a:pt x="378925" y="207284"/>
                <a:pt x="397524" y="184981"/>
                <a:pt x="415950" y="162549"/>
              </a:cubicBezTo>
              <a:cubicBezTo>
                <a:pt x="419743" y="157932"/>
                <a:pt x="443009" y="131629"/>
                <a:pt x="448183" y="123868"/>
              </a:cubicBezTo>
              <a:cubicBezTo>
                <a:pt x="450332" y="120645"/>
                <a:pt x="458095" y="112465"/>
                <a:pt x="454630" y="114198"/>
              </a:cubicBezTo>
              <a:cubicBezTo>
                <a:pt x="442568" y="120230"/>
                <a:pt x="420250" y="160611"/>
                <a:pt x="419173" y="162549"/>
              </a:cubicBezTo>
              <a:cubicBezTo>
                <a:pt x="403607" y="190567"/>
                <a:pt x="398050" y="198017"/>
                <a:pt x="386939" y="230239"/>
              </a:cubicBezTo>
              <a:cubicBezTo>
                <a:pt x="380732" y="248238"/>
                <a:pt x="377005" y="267028"/>
                <a:pt x="370823" y="285036"/>
              </a:cubicBezTo>
              <a:cubicBezTo>
                <a:pt x="352284" y="339040"/>
                <a:pt x="330331" y="391863"/>
                <a:pt x="312802" y="446203"/>
              </a:cubicBezTo>
              <a:cubicBezTo>
                <a:pt x="291313" y="512819"/>
                <a:pt x="266532" y="578461"/>
                <a:pt x="248335" y="646051"/>
              </a:cubicBezTo>
              <a:cubicBezTo>
                <a:pt x="219742" y="752255"/>
                <a:pt x="232473" y="701714"/>
                <a:pt x="209655" y="797549"/>
              </a:cubicBezTo>
              <a:cubicBezTo>
                <a:pt x="201619" y="881933"/>
                <a:pt x="199965" y="869220"/>
                <a:pt x="206432" y="968386"/>
              </a:cubicBezTo>
              <a:cubicBezTo>
                <a:pt x="207421" y="983549"/>
                <a:pt x="209194" y="998772"/>
                <a:pt x="212879" y="1013513"/>
              </a:cubicBezTo>
              <a:cubicBezTo>
                <a:pt x="219968" y="1041868"/>
                <a:pt x="230069" y="1069384"/>
                <a:pt x="238665" y="1097320"/>
              </a:cubicBezTo>
              <a:lnTo>
                <a:pt x="251559" y="1139224"/>
              </a:lnTo>
              <a:cubicBezTo>
                <a:pt x="255857" y="1153192"/>
                <a:pt x="259155" y="1167507"/>
                <a:pt x="264452" y="1181127"/>
              </a:cubicBezTo>
              <a:cubicBezTo>
                <a:pt x="271973" y="1200467"/>
                <a:pt x="281316" y="1219195"/>
                <a:pt x="287016" y="1239148"/>
              </a:cubicBezTo>
              <a:cubicBezTo>
                <a:pt x="289165" y="1246669"/>
                <a:pt x="290989" y="1254290"/>
                <a:pt x="293462" y="1261711"/>
              </a:cubicBezTo>
              <a:cubicBezTo>
                <a:pt x="295292" y="1267200"/>
                <a:pt x="297877" y="1272410"/>
                <a:pt x="299909" y="1277828"/>
              </a:cubicBezTo>
              <a:cubicBezTo>
                <a:pt x="301102" y="1281009"/>
                <a:pt x="302058" y="1284275"/>
                <a:pt x="303132" y="1287498"/>
              </a:cubicBezTo>
              <a:cubicBezTo>
                <a:pt x="302058" y="1275679"/>
                <a:pt x="302236" y="1263678"/>
                <a:pt x="299909" y="1252041"/>
              </a:cubicBezTo>
              <a:cubicBezTo>
                <a:pt x="296841" y="1236701"/>
                <a:pt x="292164" y="1221687"/>
                <a:pt x="287016" y="1206914"/>
              </a:cubicBezTo>
              <a:cubicBezTo>
                <a:pt x="267441" y="1150743"/>
                <a:pt x="246502" y="1095055"/>
                <a:pt x="225772" y="1039300"/>
              </a:cubicBezTo>
              <a:cubicBezTo>
                <a:pt x="215341" y="1011246"/>
                <a:pt x="202340" y="984100"/>
                <a:pt x="193538" y="955493"/>
              </a:cubicBezTo>
              <a:cubicBezTo>
                <a:pt x="180645" y="913589"/>
                <a:pt x="167593" y="871734"/>
                <a:pt x="154858" y="829782"/>
              </a:cubicBezTo>
              <a:cubicBezTo>
                <a:pt x="149328" y="811564"/>
                <a:pt x="138742" y="774985"/>
                <a:pt x="138742" y="774985"/>
              </a:cubicBezTo>
              <a:cubicBezTo>
                <a:pt x="132183" y="686443"/>
                <a:pt x="127834" y="682881"/>
                <a:pt x="138742" y="591254"/>
              </a:cubicBezTo>
              <a:cubicBezTo>
                <a:pt x="142430" y="560273"/>
                <a:pt x="165187" y="508451"/>
                <a:pt x="174198" y="484884"/>
              </a:cubicBezTo>
              <a:cubicBezTo>
                <a:pt x="203758" y="407573"/>
                <a:pt x="183402" y="458605"/>
                <a:pt x="238665" y="343056"/>
              </a:cubicBezTo>
              <a:cubicBezTo>
                <a:pt x="258012" y="302604"/>
                <a:pt x="274822" y="261423"/>
                <a:pt x="299909" y="223792"/>
              </a:cubicBezTo>
              <a:cubicBezTo>
                <a:pt x="304207" y="217345"/>
                <a:pt x="308898" y="211144"/>
                <a:pt x="312802" y="204452"/>
              </a:cubicBezTo>
              <a:cubicBezTo>
                <a:pt x="316434" y="198226"/>
                <a:pt x="318764" y="191292"/>
                <a:pt x="322472" y="185112"/>
              </a:cubicBezTo>
              <a:cubicBezTo>
                <a:pt x="326739" y="178000"/>
                <a:pt x="335250" y="168018"/>
                <a:pt x="341813" y="162549"/>
              </a:cubicBezTo>
              <a:cubicBezTo>
                <a:pt x="344789" y="160069"/>
                <a:pt x="348260" y="158251"/>
                <a:pt x="351483" y="156102"/>
              </a:cubicBezTo>
              <a:cubicBezTo>
                <a:pt x="360997" y="141830"/>
                <a:pt x="368824" y="127351"/>
                <a:pt x="383716" y="117422"/>
              </a:cubicBezTo>
              <a:cubicBezTo>
                <a:pt x="386939" y="115273"/>
                <a:pt x="396125" y="108236"/>
                <a:pt x="393386" y="110975"/>
              </a:cubicBezTo>
              <a:cubicBezTo>
                <a:pt x="389587" y="114774"/>
                <a:pt x="384292" y="116846"/>
                <a:pt x="380493" y="120645"/>
              </a:cubicBezTo>
              <a:cubicBezTo>
                <a:pt x="363921" y="137217"/>
                <a:pt x="367501" y="137685"/>
                <a:pt x="354706" y="152879"/>
              </a:cubicBezTo>
              <a:cubicBezTo>
                <a:pt x="323384" y="190074"/>
                <a:pt x="311569" y="200973"/>
                <a:pt x="283792" y="236686"/>
              </a:cubicBezTo>
              <a:cubicBezTo>
                <a:pt x="270599" y="253648"/>
                <a:pt x="258954" y="271822"/>
                <a:pt x="245112" y="288259"/>
              </a:cubicBezTo>
              <a:cubicBezTo>
                <a:pt x="191940" y="351401"/>
                <a:pt x="145561" y="402786"/>
                <a:pt x="103285" y="478437"/>
              </a:cubicBezTo>
              <a:cubicBezTo>
                <a:pt x="63518" y="549599"/>
                <a:pt x="46773" y="567387"/>
                <a:pt x="25924" y="629934"/>
              </a:cubicBezTo>
              <a:cubicBezTo>
                <a:pt x="22050" y="641556"/>
                <a:pt x="19477" y="653572"/>
                <a:pt x="16254" y="665391"/>
              </a:cubicBezTo>
              <a:cubicBezTo>
                <a:pt x="14105" y="690103"/>
                <a:pt x="11404" y="714774"/>
                <a:pt x="9807" y="739528"/>
              </a:cubicBezTo>
              <a:lnTo>
                <a:pt x="3361" y="839452"/>
              </a:lnTo>
              <a:cubicBezTo>
                <a:pt x="5510" y="916812"/>
                <a:pt x="1706" y="994568"/>
                <a:pt x="9807" y="1071533"/>
              </a:cubicBezTo>
              <a:cubicBezTo>
                <a:pt x="12546" y="1097554"/>
                <a:pt x="26844" y="1121012"/>
                <a:pt x="35594" y="1145670"/>
              </a:cubicBezTo>
              <a:cubicBezTo>
                <a:pt x="38664" y="1154322"/>
                <a:pt x="40541" y="1163585"/>
                <a:pt x="45264" y="1171457"/>
              </a:cubicBezTo>
              <a:cubicBezTo>
                <a:pt x="48487" y="1176829"/>
                <a:pt x="51570" y="1182288"/>
                <a:pt x="54934" y="1187574"/>
              </a:cubicBezTo>
              <a:cubicBezTo>
                <a:pt x="59094" y="1194111"/>
                <a:pt x="67828" y="1206914"/>
                <a:pt x="67828" y="1206914"/>
              </a:cubicBezTo>
              <a:cubicBezTo>
                <a:pt x="68902" y="1203691"/>
                <a:pt x="71051" y="1200642"/>
                <a:pt x="71051" y="1197244"/>
              </a:cubicBezTo>
              <a:cubicBezTo>
                <a:pt x="71051" y="1192202"/>
                <a:pt x="62641" y="1177621"/>
                <a:pt x="61381" y="1174681"/>
              </a:cubicBezTo>
              <a:cubicBezTo>
                <a:pt x="60043" y="1171558"/>
                <a:pt x="59351" y="1168192"/>
                <a:pt x="58158" y="1165010"/>
              </a:cubicBezTo>
              <a:cubicBezTo>
                <a:pt x="56126" y="1159592"/>
                <a:pt x="53688" y="1154332"/>
                <a:pt x="51711" y="1148894"/>
              </a:cubicBezTo>
              <a:cubicBezTo>
                <a:pt x="28243" y="1084359"/>
                <a:pt x="34910" y="1103236"/>
                <a:pt x="16254" y="1036076"/>
              </a:cubicBezTo>
              <a:cubicBezTo>
                <a:pt x="8835" y="969302"/>
                <a:pt x="837" y="910564"/>
                <a:pt x="137" y="842675"/>
              </a:cubicBezTo>
              <a:cubicBezTo>
                <a:pt x="-572" y="773906"/>
                <a:pt x="1598" y="705131"/>
                <a:pt x="3361" y="636381"/>
              </a:cubicBezTo>
              <a:cubicBezTo>
                <a:pt x="3748" y="621305"/>
                <a:pt x="4451" y="606183"/>
                <a:pt x="6584" y="591254"/>
              </a:cubicBezTo>
              <a:cubicBezTo>
                <a:pt x="16077" y="524802"/>
                <a:pt x="56436" y="430244"/>
                <a:pt x="77498" y="384960"/>
              </a:cubicBezTo>
              <a:cubicBezTo>
                <a:pt x="98987" y="338759"/>
                <a:pt x="117566" y="291089"/>
                <a:pt x="141965" y="246356"/>
              </a:cubicBezTo>
              <a:cubicBezTo>
                <a:pt x="148412" y="234537"/>
                <a:pt x="155517" y="223054"/>
                <a:pt x="161305" y="210899"/>
              </a:cubicBezTo>
              <a:cubicBezTo>
                <a:pt x="166280" y="200451"/>
                <a:pt x="169023" y="189016"/>
                <a:pt x="174198" y="178665"/>
              </a:cubicBezTo>
              <a:cubicBezTo>
                <a:pt x="178731" y="169599"/>
                <a:pt x="185345" y="161713"/>
                <a:pt x="190315" y="152879"/>
              </a:cubicBezTo>
              <a:cubicBezTo>
                <a:pt x="195027" y="144503"/>
                <a:pt x="198116" y="135242"/>
                <a:pt x="203209" y="127092"/>
              </a:cubicBezTo>
              <a:cubicBezTo>
                <a:pt x="208904" y="117981"/>
                <a:pt x="216304" y="110048"/>
                <a:pt x="222549" y="101305"/>
              </a:cubicBezTo>
              <a:cubicBezTo>
                <a:pt x="227052" y="95000"/>
                <a:pt x="230602" y="88015"/>
                <a:pt x="235442" y="81965"/>
              </a:cubicBezTo>
              <a:cubicBezTo>
                <a:pt x="239239" y="77219"/>
                <a:pt x="244380" y="73686"/>
                <a:pt x="248335" y="69071"/>
              </a:cubicBezTo>
              <a:cubicBezTo>
                <a:pt x="250856" y="66130"/>
                <a:pt x="251523" y="61496"/>
                <a:pt x="254782" y="59401"/>
              </a:cubicBezTo>
              <a:cubicBezTo>
                <a:pt x="266908" y="51606"/>
                <a:pt x="281101" y="47477"/>
                <a:pt x="293462" y="40061"/>
              </a:cubicBezTo>
              <a:cubicBezTo>
                <a:pt x="298834" y="36838"/>
                <a:pt x="303875" y="32983"/>
                <a:pt x="309579" y="30391"/>
              </a:cubicBezTo>
              <a:cubicBezTo>
                <a:pt x="315765" y="27579"/>
                <a:pt x="328919" y="17150"/>
                <a:pt x="328919" y="23945"/>
              </a:cubicBezTo>
              <a:lnTo>
                <a:pt x="328919" y="40061"/>
              </a:lnTo>
            </a:path>
          </a:pathLst>
        </a:custGeom>
        <a:noFill/>
        <a:ln>
          <a:solidFill>
            <a:srgbClr val="FFFF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248198</xdr:colOff>
      <xdr:row>124</xdr:row>
      <xdr:rowOff>125710</xdr:rowOff>
    </xdr:from>
    <xdr:to>
      <xdr:col>6</xdr:col>
      <xdr:colOff>483503</xdr:colOff>
      <xdr:row>125</xdr:row>
      <xdr:rowOff>58020</xdr:rowOff>
    </xdr:to>
    <xdr:sp macro="" textlink="">
      <xdr:nvSpPr>
        <xdr:cNvPr id="133" name="Rectangle 132">
          <a:extLst>
            <a:ext uri="{FF2B5EF4-FFF2-40B4-BE49-F238E27FC236}">
              <a16:creationId xmlns:a16="http://schemas.microsoft.com/office/drawing/2014/main" id="{0C8E6233-144D-574B-53B3-8251DB06D57D}"/>
            </a:ext>
          </a:extLst>
        </xdr:cNvPr>
        <xdr:cNvSpPr/>
      </xdr:nvSpPr>
      <xdr:spPr>
        <a:xfrm>
          <a:off x="13514276294" y="25306522"/>
          <a:ext cx="235305" cy="135381"/>
        </a:xfrm>
        <a:prstGeom prst="rect">
          <a:avLst/>
        </a:prstGeom>
        <a:noFill/>
        <a:ln w="571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760711</xdr:colOff>
      <xdr:row>124</xdr:row>
      <xdr:rowOff>122487</xdr:rowOff>
    </xdr:from>
    <xdr:to>
      <xdr:col>6</xdr:col>
      <xdr:colOff>170838</xdr:colOff>
      <xdr:row>125</xdr:row>
      <xdr:rowOff>54797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056447C1-E8C6-4720-C77C-ACD6C3F47A21}"/>
            </a:ext>
          </a:extLst>
        </xdr:cNvPr>
        <xdr:cNvSpPr/>
      </xdr:nvSpPr>
      <xdr:spPr>
        <a:xfrm>
          <a:off x="13514588959" y="25303299"/>
          <a:ext cx="235305" cy="135381"/>
        </a:xfrm>
        <a:prstGeom prst="rect">
          <a:avLst/>
        </a:prstGeom>
        <a:noFill/>
        <a:ln w="57150"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141827</xdr:colOff>
      <xdr:row>124</xdr:row>
      <xdr:rowOff>193401</xdr:rowOff>
    </xdr:from>
    <xdr:to>
      <xdr:col>6</xdr:col>
      <xdr:colOff>248198</xdr:colOff>
      <xdr:row>124</xdr:row>
      <xdr:rowOff>196625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B2404FD4-B939-327F-1999-BA342EDB138E}"/>
            </a:ext>
          </a:extLst>
        </xdr:cNvPr>
        <xdr:cNvCxnSpPr>
          <a:stCxn id="133" idx="3"/>
        </xdr:cNvCxnSpPr>
      </xdr:nvCxnSpPr>
      <xdr:spPr>
        <a:xfrm>
          <a:off x="13514511599" y="25374213"/>
          <a:ext cx="106371" cy="3224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174061</xdr:colOff>
      <xdr:row>126</xdr:row>
      <xdr:rowOff>135381</xdr:rowOff>
    </xdr:from>
    <xdr:to>
      <xdr:col>5</xdr:col>
      <xdr:colOff>228858</xdr:colOff>
      <xdr:row>126</xdr:row>
      <xdr:rowOff>141828</xdr:rowOff>
    </xdr:to>
    <xdr:cxnSp macro="">
      <xdr:nvCxnSpPr>
        <xdr:cNvPr id="138" name="Straight Arrow Connector 137">
          <a:extLst>
            <a:ext uri="{FF2B5EF4-FFF2-40B4-BE49-F238E27FC236}">
              <a16:creationId xmlns:a16="http://schemas.microsoft.com/office/drawing/2014/main" id="{A1F84A8B-6461-D694-944A-086BAFC1C642}"/>
            </a:ext>
          </a:extLst>
        </xdr:cNvPr>
        <xdr:cNvCxnSpPr/>
      </xdr:nvCxnSpPr>
      <xdr:spPr>
        <a:xfrm flipV="1">
          <a:off x="13515356117" y="25722335"/>
          <a:ext cx="4180685" cy="64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40291</xdr:colOff>
      <xdr:row>126</xdr:row>
      <xdr:rowOff>88643</xdr:rowOff>
    </xdr:from>
    <xdr:to>
      <xdr:col>4</xdr:col>
      <xdr:colOff>759098</xdr:colOff>
      <xdr:row>127</xdr:row>
      <xdr:rowOff>111206</xdr:rowOff>
    </xdr:to>
    <xdr:sp macro="" textlink="">
      <xdr:nvSpPr>
        <xdr:cNvPr id="140" name="Left Brace 139">
          <a:extLst>
            <a:ext uri="{FF2B5EF4-FFF2-40B4-BE49-F238E27FC236}">
              <a16:creationId xmlns:a16="http://schemas.microsoft.com/office/drawing/2014/main" id="{678751CD-3E4A-2DBE-2EE6-F5953A0CE582}"/>
            </a:ext>
          </a:extLst>
        </xdr:cNvPr>
        <xdr:cNvSpPr/>
      </xdr:nvSpPr>
      <xdr:spPr>
        <a:xfrm rot="16200000">
          <a:off x="13515897641" y="25429010"/>
          <a:ext cx="225634" cy="71880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415810</xdr:colOff>
      <xdr:row>126</xdr:row>
      <xdr:rowOff>88643</xdr:rowOff>
    </xdr:from>
    <xdr:to>
      <xdr:col>3</xdr:col>
      <xdr:colOff>723639</xdr:colOff>
      <xdr:row>127</xdr:row>
      <xdr:rowOff>106371</xdr:rowOff>
    </xdr:to>
    <xdr:sp macro="" textlink="">
      <xdr:nvSpPr>
        <xdr:cNvPr id="141" name="Left Brace 140">
          <a:extLst>
            <a:ext uri="{FF2B5EF4-FFF2-40B4-BE49-F238E27FC236}">
              <a16:creationId xmlns:a16="http://schemas.microsoft.com/office/drawing/2014/main" id="{BA800929-AAC9-7B3F-FD13-0D4FB6BE01E4}"/>
            </a:ext>
          </a:extLst>
        </xdr:cNvPr>
        <xdr:cNvSpPr/>
      </xdr:nvSpPr>
      <xdr:spPr>
        <a:xfrm rot="16200000">
          <a:off x="13516967795" y="25219493"/>
          <a:ext cx="220799" cy="113300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383575</xdr:colOff>
      <xdr:row>127</xdr:row>
      <xdr:rowOff>193401</xdr:rowOff>
    </xdr:from>
    <xdr:to>
      <xdr:col>2</xdr:col>
      <xdr:colOff>254644</xdr:colOff>
      <xdr:row>129</xdr:row>
      <xdr:rowOff>70912</xdr:rowOff>
    </xdr:to>
    <xdr:sp macro="" textlink="">
      <xdr:nvSpPr>
        <xdr:cNvPr id="142" name="Left Brace 141">
          <a:extLst>
            <a:ext uri="{FF2B5EF4-FFF2-40B4-BE49-F238E27FC236}">
              <a16:creationId xmlns:a16="http://schemas.microsoft.com/office/drawing/2014/main" id="{40D4DF3C-5AF9-BD4B-C2C9-F8334E05090F}"/>
            </a:ext>
          </a:extLst>
        </xdr:cNvPr>
        <xdr:cNvSpPr/>
      </xdr:nvSpPr>
      <xdr:spPr>
        <a:xfrm rot="16200000">
          <a:off x="13518424749" y="25364541"/>
          <a:ext cx="283654" cy="1521424"/>
        </a:xfrm>
        <a:prstGeom prst="leftBrac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783274</xdr:colOff>
      <xdr:row>125</xdr:row>
      <xdr:rowOff>41904</xdr:rowOff>
    </xdr:from>
    <xdr:to>
      <xdr:col>1</xdr:col>
      <xdr:colOff>776827</xdr:colOff>
      <xdr:row>126</xdr:row>
      <xdr:rowOff>70914</xdr:rowOff>
    </xdr:to>
    <xdr:sp macro="" textlink="">
      <xdr:nvSpPr>
        <xdr:cNvPr id="143" name="Rounded Rectangle 142">
          <a:extLst>
            <a:ext uri="{FF2B5EF4-FFF2-40B4-BE49-F238E27FC236}">
              <a16:creationId xmlns:a16="http://schemas.microsoft.com/office/drawing/2014/main" id="{C427B4BA-B3C7-0F1E-9051-3C66A67935A6}"/>
            </a:ext>
          </a:extLst>
        </xdr:cNvPr>
        <xdr:cNvSpPr/>
      </xdr:nvSpPr>
      <xdr:spPr>
        <a:xfrm>
          <a:off x="13518108858" y="25425787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א</a:t>
          </a:r>
          <a:endParaRPr lang="en-US" sz="1100"/>
        </a:p>
      </xdr:txBody>
    </xdr:sp>
    <xdr:clientData/>
  </xdr:twoCellAnchor>
  <xdr:twoCellAnchor>
    <xdr:from>
      <xdr:col>2</xdr:col>
      <xdr:colOff>651117</xdr:colOff>
      <xdr:row>124</xdr:row>
      <xdr:rowOff>16117</xdr:rowOff>
    </xdr:from>
    <xdr:to>
      <xdr:col>3</xdr:col>
      <xdr:colOff>644670</xdr:colOff>
      <xdr:row>125</xdr:row>
      <xdr:rowOff>45127</xdr:rowOff>
    </xdr:to>
    <xdr:sp macro="" textlink="">
      <xdr:nvSpPr>
        <xdr:cNvPr id="144" name="Rounded Rectangle 143">
          <a:extLst>
            <a:ext uri="{FF2B5EF4-FFF2-40B4-BE49-F238E27FC236}">
              <a16:creationId xmlns:a16="http://schemas.microsoft.com/office/drawing/2014/main" id="{04EF244C-1E1D-0B53-48BE-6AC07A02B61C}"/>
            </a:ext>
          </a:extLst>
        </xdr:cNvPr>
        <xdr:cNvSpPr/>
      </xdr:nvSpPr>
      <xdr:spPr>
        <a:xfrm>
          <a:off x="13516590660" y="25196929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ב</a:t>
          </a:r>
          <a:endParaRPr lang="en-US" sz="1100"/>
        </a:p>
      </xdr:txBody>
    </xdr:sp>
    <xdr:clientData/>
  </xdr:twoCellAnchor>
  <xdr:twoCellAnchor>
    <xdr:from>
      <xdr:col>4</xdr:col>
      <xdr:colOff>70914</xdr:colOff>
      <xdr:row>123</xdr:row>
      <xdr:rowOff>199848</xdr:rowOff>
    </xdr:from>
    <xdr:to>
      <xdr:col>5</xdr:col>
      <xdr:colOff>64468</xdr:colOff>
      <xdr:row>125</xdr:row>
      <xdr:rowOff>25787</xdr:rowOff>
    </xdr:to>
    <xdr:sp macro="" textlink="">
      <xdr:nvSpPr>
        <xdr:cNvPr id="145" name="Rounded Rectangle 144">
          <a:extLst>
            <a:ext uri="{FF2B5EF4-FFF2-40B4-BE49-F238E27FC236}">
              <a16:creationId xmlns:a16="http://schemas.microsoft.com/office/drawing/2014/main" id="{8D50EAC4-C58F-00F9-0B7F-706034B138FE}"/>
            </a:ext>
          </a:extLst>
        </xdr:cNvPr>
        <xdr:cNvSpPr/>
      </xdr:nvSpPr>
      <xdr:spPr>
        <a:xfrm>
          <a:off x="13515520507" y="25177589"/>
          <a:ext cx="818731" cy="2320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שלב ג</a:t>
          </a:r>
          <a:endParaRPr lang="en-US" sz="1100"/>
        </a:p>
      </xdr:txBody>
    </xdr:sp>
    <xdr:clientData/>
  </xdr:twoCellAnchor>
  <xdr:twoCellAnchor>
    <xdr:from>
      <xdr:col>3</xdr:col>
      <xdr:colOff>664308</xdr:colOff>
      <xdr:row>136</xdr:row>
      <xdr:rowOff>132862</xdr:rowOff>
    </xdr:from>
    <xdr:to>
      <xdr:col>4</xdr:col>
      <xdr:colOff>46893</xdr:colOff>
      <xdr:row>138</xdr:row>
      <xdr:rowOff>39077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C505E60C-8CF4-9146-BCEE-462419159FF2}"/>
            </a:ext>
          </a:extLst>
        </xdr:cNvPr>
        <xdr:cNvCxnSpPr/>
      </xdr:nvCxnSpPr>
      <xdr:spPr>
        <a:xfrm flipH="1" flipV="1">
          <a:off x="13526372494" y="21605991"/>
          <a:ext cx="208474" cy="31136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136</xdr:row>
      <xdr:rowOff>132862</xdr:rowOff>
    </xdr:from>
    <xdr:to>
      <xdr:col>3</xdr:col>
      <xdr:colOff>46893</xdr:colOff>
      <xdr:row>138</xdr:row>
      <xdr:rowOff>39077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59CF0C2D-ABEA-CF4A-B70F-08BCDB860748}"/>
            </a:ext>
          </a:extLst>
        </xdr:cNvPr>
        <xdr:cNvCxnSpPr/>
      </xdr:nvCxnSpPr>
      <xdr:spPr>
        <a:xfrm flipH="1" flipV="1">
          <a:off x="13527198383" y="21605991"/>
          <a:ext cx="208475" cy="31136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689541</xdr:colOff>
      <xdr:row>127</xdr:row>
      <xdr:rowOff>78459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E14C0B1F-58E7-2511-6FCD-D45220055C90}"/>
                </a:ext>
              </a:extLst>
            </xdr:cNvPr>
            <xdr:cNvSpPr txBox="1"/>
          </xdr:nvSpPr>
          <xdr:spPr>
            <a:xfrm>
              <a:off x="13527146305" y="2580569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=4,000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E14C0B1F-58E7-2511-6FCD-D45220055C90}"/>
                </a:ext>
              </a:extLst>
            </xdr:cNvPr>
            <xdr:cNvSpPr txBox="1"/>
          </xdr:nvSpPr>
          <xdr:spPr>
            <a:xfrm>
              <a:off x="13527146305" y="2580569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𝑃𝑀𝑇=4,000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697333</xdr:colOff>
      <xdr:row>128</xdr:row>
      <xdr:rowOff>39502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0406A38-7E0E-DA9B-49F2-E524B1076FE8}"/>
                </a:ext>
              </a:extLst>
            </xdr:cNvPr>
            <xdr:cNvSpPr txBox="1"/>
          </xdr:nvSpPr>
          <xdr:spPr>
            <a:xfrm>
              <a:off x="13527138513" y="2596931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0406A38-7E0E-DA9B-49F2-E524B1076FE8}"/>
                </a:ext>
              </a:extLst>
            </xdr:cNvPr>
            <xdr:cNvSpPr txBox="1"/>
          </xdr:nvSpPr>
          <xdr:spPr>
            <a:xfrm>
              <a:off x="13527138513" y="2596931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𝑛=12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693437</xdr:colOff>
      <xdr:row>128</xdr:row>
      <xdr:rowOff>175852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7A3E808-0AAE-87F4-D902-AAEB1B067E0A}"/>
                </a:ext>
              </a:extLst>
            </xdr:cNvPr>
            <xdr:cNvSpPr txBox="1"/>
          </xdr:nvSpPr>
          <xdr:spPr>
            <a:xfrm>
              <a:off x="13527142409" y="2610566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47A3E808-0AAE-87F4-D902-AAEB1B067E0A}"/>
                </a:ext>
              </a:extLst>
            </xdr:cNvPr>
            <xdr:cNvSpPr txBox="1"/>
          </xdr:nvSpPr>
          <xdr:spPr>
            <a:xfrm>
              <a:off x="13527142409" y="2610566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525922</xdr:colOff>
      <xdr:row>127</xdr:row>
      <xdr:rowOff>144686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64296B35-8F4F-A13B-5DF5-67CF145261AF}"/>
                </a:ext>
              </a:extLst>
            </xdr:cNvPr>
            <xdr:cNvSpPr txBox="1"/>
          </xdr:nvSpPr>
          <xdr:spPr>
            <a:xfrm>
              <a:off x="13528135814" y="2587192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64296B35-8F4F-A13B-5DF5-67CF145261AF}"/>
                </a:ext>
              </a:extLst>
            </xdr:cNvPr>
            <xdr:cNvSpPr txBox="1"/>
          </xdr:nvSpPr>
          <xdr:spPr>
            <a:xfrm>
              <a:off x="13528135814" y="2587192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𝑃𝑀𝑇=6,000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471383</xdr:colOff>
      <xdr:row>128</xdr:row>
      <xdr:rowOff>70668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B7A6BB9C-F564-E370-D9ED-C6CDA9123B55}"/>
                </a:ext>
              </a:extLst>
            </xdr:cNvPr>
            <xdr:cNvSpPr txBox="1"/>
          </xdr:nvSpPr>
          <xdr:spPr>
            <a:xfrm>
              <a:off x="13528190353" y="2600048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B7A6BB9C-F564-E370-D9ED-C6CDA9123B55}"/>
                </a:ext>
              </a:extLst>
            </xdr:cNvPr>
            <xdr:cNvSpPr txBox="1"/>
          </xdr:nvSpPr>
          <xdr:spPr>
            <a:xfrm>
              <a:off x="13528190353" y="2600048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𝑛=24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459695</xdr:colOff>
      <xdr:row>129</xdr:row>
      <xdr:rowOff>4441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9D7A98D-C661-47D3-C87B-7C4131C25771}"/>
                </a:ext>
              </a:extLst>
            </xdr:cNvPr>
            <xdr:cNvSpPr txBox="1"/>
          </xdr:nvSpPr>
          <xdr:spPr>
            <a:xfrm>
              <a:off x="13528202041" y="2613683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9D7A98D-C661-47D3-C87B-7C4131C25771}"/>
                </a:ext>
              </a:extLst>
            </xdr:cNvPr>
            <xdr:cNvSpPr txBox="1"/>
          </xdr:nvSpPr>
          <xdr:spPr>
            <a:xfrm>
              <a:off x="13528202041" y="2613683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615524</xdr:colOff>
      <xdr:row>130</xdr:row>
      <xdr:rowOff>156375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ECE65D58-665B-EF2F-8471-11DA54FC0CAC}"/>
                </a:ext>
              </a:extLst>
            </xdr:cNvPr>
            <xdr:cNvSpPr txBox="1"/>
          </xdr:nvSpPr>
          <xdr:spPr>
            <a:xfrm>
              <a:off x="13529697991" y="2649134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ECE65D58-665B-EF2F-8471-11DA54FC0CAC}"/>
                </a:ext>
              </a:extLst>
            </xdr:cNvPr>
            <xdr:cNvSpPr txBox="1"/>
          </xdr:nvSpPr>
          <xdr:spPr>
            <a:xfrm>
              <a:off x="13529697991" y="26491344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𝐼%=1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607732</xdr:colOff>
      <xdr:row>129</xdr:row>
      <xdr:rowOff>82355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950D90FD-4885-AEC6-5E45-A2C611B10313}"/>
                </a:ext>
              </a:extLst>
            </xdr:cNvPr>
            <xdr:cNvSpPr txBox="1"/>
          </xdr:nvSpPr>
          <xdr:spPr>
            <a:xfrm>
              <a:off x="13529705783" y="2621474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950D90FD-4885-AEC6-5E45-A2C611B10313}"/>
                </a:ext>
              </a:extLst>
            </xdr:cNvPr>
            <xdr:cNvSpPr txBox="1"/>
          </xdr:nvSpPr>
          <xdr:spPr>
            <a:xfrm>
              <a:off x="13529705783" y="26214748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𝑃𝑀𝑇=0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588253</xdr:colOff>
      <xdr:row>131</xdr:row>
      <xdr:rowOff>78459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EC6ABAF0-436B-30B1-1675-0571DBFDD910}"/>
                </a:ext>
              </a:extLst>
            </xdr:cNvPr>
            <xdr:cNvSpPr txBox="1"/>
          </xdr:nvSpPr>
          <xdr:spPr>
            <a:xfrm>
              <a:off x="13529725262" y="2661600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EC6ABAF0-436B-30B1-1675-0571DBFDD910}"/>
                </a:ext>
              </a:extLst>
            </xdr:cNvPr>
            <xdr:cNvSpPr txBox="1"/>
          </xdr:nvSpPr>
          <xdr:spPr>
            <a:xfrm>
              <a:off x="13529725262" y="26616005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𝐹𝑉=2,000,000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0</xdr:col>
      <xdr:colOff>592149</xdr:colOff>
      <xdr:row>130</xdr:row>
      <xdr:rowOff>20024</xdr:rowOff>
    </xdr:from>
    <xdr:ext cx="106120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9360E5B-FAE8-5C83-27F4-BD43D8461C20}"/>
                </a:ext>
              </a:extLst>
            </xdr:cNvPr>
            <xdr:cNvSpPr txBox="1"/>
          </xdr:nvSpPr>
          <xdr:spPr>
            <a:xfrm>
              <a:off x="13529721366" y="26354993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9360E5B-FAE8-5C83-27F4-BD43D8461C20}"/>
                </a:ext>
              </a:extLst>
            </xdr:cNvPr>
            <xdr:cNvSpPr txBox="1"/>
          </xdr:nvSpPr>
          <xdr:spPr>
            <a:xfrm>
              <a:off x="13529721366" y="26354993"/>
              <a:ext cx="106120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𝑛=12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7</xdr:col>
      <xdr:colOff>198681</xdr:colOff>
      <xdr:row>122</xdr:row>
      <xdr:rowOff>46748</xdr:rowOff>
    </xdr:from>
    <xdr:to>
      <xdr:col>8</xdr:col>
      <xdr:colOff>712914</xdr:colOff>
      <xdr:row>126</xdr:row>
      <xdr:rowOff>159724</xdr:rowOff>
    </xdr:to>
    <xdr:sp macro="" textlink="">
      <xdr:nvSpPr>
        <xdr:cNvPr id="159" name="Rounded Rectangular Callout 158">
          <a:extLst>
            <a:ext uri="{FF2B5EF4-FFF2-40B4-BE49-F238E27FC236}">
              <a16:creationId xmlns:a16="http://schemas.microsoft.com/office/drawing/2014/main" id="{AED3401A-DF24-3257-DD0F-3EA2C04424E8}"/>
            </a:ext>
          </a:extLst>
        </xdr:cNvPr>
        <xdr:cNvSpPr/>
      </xdr:nvSpPr>
      <xdr:spPr>
        <a:xfrm>
          <a:off x="13524054693" y="24761104"/>
          <a:ext cx="1340123" cy="923283"/>
        </a:xfrm>
        <a:prstGeom prst="wedgeRoundRectCallout">
          <a:avLst>
            <a:gd name="adj1" fmla="val 72190"/>
            <a:gd name="adj2" fmla="val 1608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שווי</a:t>
          </a:r>
          <a:r>
            <a:rPr lang="he-IL" sz="1100" baseline="0"/>
            <a:t> הנכס היום מבחינתי, בר רפאלי: 1,398,656 ש״ח</a:t>
          </a:r>
          <a:endParaRPr lang="en-US" sz="1100"/>
        </a:p>
      </xdr:txBody>
    </xdr:sp>
    <xdr:clientData/>
  </xdr:twoCellAnchor>
  <xdr:twoCellAnchor editAs="oneCell">
    <xdr:from>
      <xdr:col>5</xdr:col>
      <xdr:colOff>712915</xdr:colOff>
      <xdr:row>142</xdr:row>
      <xdr:rowOff>3895</xdr:rowOff>
    </xdr:from>
    <xdr:to>
      <xdr:col>7</xdr:col>
      <xdr:colOff>446860</xdr:colOff>
      <xdr:row>148</xdr:row>
      <xdr:rowOff>131669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E320D60B-2B9C-9E4D-B341-83E4E1E44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5146638" y="28793159"/>
          <a:ext cx="1385723" cy="1343234"/>
        </a:xfrm>
        <a:prstGeom prst="rect">
          <a:avLst/>
        </a:prstGeom>
      </xdr:spPr>
    </xdr:pic>
    <xdr:clientData/>
  </xdr:twoCellAnchor>
  <xdr:twoCellAnchor>
    <xdr:from>
      <xdr:col>5</xdr:col>
      <xdr:colOff>806411</xdr:colOff>
      <xdr:row>141</xdr:row>
      <xdr:rowOff>120613</xdr:rowOff>
    </xdr:from>
    <xdr:to>
      <xdr:col>7</xdr:col>
      <xdr:colOff>257117</xdr:colOff>
      <xdr:row>150</xdr:row>
      <xdr:rowOff>70123</xdr:rowOff>
    </xdr:to>
    <xdr:sp macro="" textlink="">
      <xdr:nvSpPr>
        <xdr:cNvPr id="161" name="Freeform 160">
          <a:extLst>
            <a:ext uri="{FF2B5EF4-FFF2-40B4-BE49-F238E27FC236}">
              <a16:creationId xmlns:a16="http://schemas.microsoft.com/office/drawing/2014/main" id="{9935A83F-A195-705D-288B-7A9E946810CF}"/>
            </a:ext>
          </a:extLst>
        </xdr:cNvPr>
        <xdr:cNvSpPr/>
      </xdr:nvSpPr>
      <xdr:spPr>
        <a:xfrm>
          <a:off x="13525336380" y="28707300"/>
          <a:ext cx="1102485" cy="1772700"/>
        </a:xfrm>
        <a:custGeom>
          <a:avLst/>
          <a:gdLst>
            <a:gd name="connsiteX0" fmla="*/ 432423 w 1102485"/>
            <a:gd name="connsiteY0" fmla="*/ 85859 h 1329303"/>
            <a:gd name="connsiteX1" fmla="*/ 409049 w 1102485"/>
            <a:gd name="connsiteY1" fmla="*/ 105338 h 1329303"/>
            <a:gd name="connsiteX2" fmla="*/ 366196 w 1102485"/>
            <a:gd name="connsiteY2" fmla="*/ 132607 h 1329303"/>
            <a:gd name="connsiteX3" fmla="*/ 346718 w 1102485"/>
            <a:gd name="connsiteY3" fmla="*/ 152086 h 1329303"/>
            <a:gd name="connsiteX4" fmla="*/ 327239 w 1102485"/>
            <a:gd name="connsiteY4" fmla="*/ 167669 h 1329303"/>
            <a:gd name="connsiteX5" fmla="*/ 303865 w 1102485"/>
            <a:gd name="connsiteY5" fmla="*/ 194939 h 1329303"/>
            <a:gd name="connsiteX6" fmla="*/ 292178 w 1102485"/>
            <a:gd name="connsiteY6" fmla="*/ 202730 h 1329303"/>
            <a:gd name="connsiteX7" fmla="*/ 276595 w 1102485"/>
            <a:gd name="connsiteY7" fmla="*/ 218313 h 1329303"/>
            <a:gd name="connsiteX8" fmla="*/ 245430 w 1102485"/>
            <a:gd name="connsiteY8" fmla="*/ 249479 h 1329303"/>
            <a:gd name="connsiteX9" fmla="*/ 229847 w 1102485"/>
            <a:gd name="connsiteY9" fmla="*/ 265061 h 1329303"/>
            <a:gd name="connsiteX10" fmla="*/ 202577 w 1102485"/>
            <a:gd name="connsiteY10" fmla="*/ 307914 h 1329303"/>
            <a:gd name="connsiteX11" fmla="*/ 186994 w 1102485"/>
            <a:gd name="connsiteY11" fmla="*/ 331288 h 1329303"/>
            <a:gd name="connsiteX12" fmla="*/ 179203 w 1102485"/>
            <a:gd name="connsiteY12" fmla="*/ 342976 h 1329303"/>
            <a:gd name="connsiteX13" fmla="*/ 163620 w 1102485"/>
            <a:gd name="connsiteY13" fmla="*/ 366350 h 1329303"/>
            <a:gd name="connsiteX14" fmla="*/ 151933 w 1102485"/>
            <a:gd name="connsiteY14" fmla="*/ 393620 h 1329303"/>
            <a:gd name="connsiteX15" fmla="*/ 140246 w 1102485"/>
            <a:gd name="connsiteY15" fmla="*/ 424785 h 1329303"/>
            <a:gd name="connsiteX16" fmla="*/ 112976 w 1102485"/>
            <a:gd name="connsiteY16" fmla="*/ 491012 h 1329303"/>
            <a:gd name="connsiteX17" fmla="*/ 105184 w 1102485"/>
            <a:gd name="connsiteY17" fmla="*/ 526074 h 1329303"/>
            <a:gd name="connsiteX18" fmla="*/ 89601 w 1102485"/>
            <a:gd name="connsiteY18" fmla="*/ 600092 h 1329303"/>
            <a:gd name="connsiteX19" fmla="*/ 85706 w 1102485"/>
            <a:gd name="connsiteY19" fmla="*/ 642945 h 1329303"/>
            <a:gd name="connsiteX20" fmla="*/ 89601 w 1102485"/>
            <a:gd name="connsiteY20" fmla="*/ 884479 h 1329303"/>
            <a:gd name="connsiteX21" fmla="*/ 93497 w 1102485"/>
            <a:gd name="connsiteY21" fmla="*/ 896166 h 1329303"/>
            <a:gd name="connsiteX22" fmla="*/ 109080 w 1102485"/>
            <a:gd name="connsiteY22" fmla="*/ 942914 h 1329303"/>
            <a:gd name="connsiteX23" fmla="*/ 116871 w 1102485"/>
            <a:gd name="connsiteY23" fmla="*/ 966288 h 1329303"/>
            <a:gd name="connsiteX24" fmla="*/ 124663 w 1102485"/>
            <a:gd name="connsiteY24" fmla="*/ 985767 h 1329303"/>
            <a:gd name="connsiteX25" fmla="*/ 132454 w 1102485"/>
            <a:gd name="connsiteY25" fmla="*/ 1016933 h 1329303"/>
            <a:gd name="connsiteX26" fmla="*/ 136350 w 1102485"/>
            <a:gd name="connsiteY26" fmla="*/ 1028620 h 1329303"/>
            <a:gd name="connsiteX27" fmla="*/ 144141 w 1102485"/>
            <a:gd name="connsiteY27" fmla="*/ 1059785 h 1329303"/>
            <a:gd name="connsiteX28" fmla="*/ 148037 w 1102485"/>
            <a:gd name="connsiteY28" fmla="*/ 1079264 h 1329303"/>
            <a:gd name="connsiteX29" fmla="*/ 155828 w 1102485"/>
            <a:gd name="connsiteY29" fmla="*/ 1102638 h 1329303"/>
            <a:gd name="connsiteX30" fmla="*/ 171411 w 1102485"/>
            <a:gd name="connsiteY30" fmla="*/ 1126012 h 1329303"/>
            <a:gd name="connsiteX31" fmla="*/ 186994 w 1102485"/>
            <a:gd name="connsiteY31" fmla="*/ 1149387 h 1329303"/>
            <a:gd name="connsiteX32" fmla="*/ 190890 w 1102485"/>
            <a:gd name="connsiteY32" fmla="*/ 1161074 h 1329303"/>
            <a:gd name="connsiteX33" fmla="*/ 218160 w 1102485"/>
            <a:gd name="connsiteY33" fmla="*/ 1207822 h 1329303"/>
            <a:gd name="connsiteX34" fmla="*/ 225951 w 1102485"/>
            <a:gd name="connsiteY34" fmla="*/ 1215614 h 1329303"/>
            <a:gd name="connsiteX35" fmla="*/ 237638 w 1102485"/>
            <a:gd name="connsiteY35" fmla="*/ 1223405 h 1329303"/>
            <a:gd name="connsiteX36" fmla="*/ 225951 w 1102485"/>
            <a:gd name="connsiteY36" fmla="*/ 1200031 h 1329303"/>
            <a:gd name="connsiteX37" fmla="*/ 198681 w 1102485"/>
            <a:gd name="connsiteY37" fmla="*/ 1168865 h 1329303"/>
            <a:gd name="connsiteX38" fmla="*/ 159724 w 1102485"/>
            <a:gd name="connsiteY38" fmla="*/ 1083160 h 1329303"/>
            <a:gd name="connsiteX39" fmla="*/ 144141 w 1102485"/>
            <a:gd name="connsiteY39" fmla="*/ 1044203 h 1329303"/>
            <a:gd name="connsiteX40" fmla="*/ 128558 w 1102485"/>
            <a:gd name="connsiteY40" fmla="*/ 1016933 h 1329303"/>
            <a:gd name="connsiteX41" fmla="*/ 97393 w 1102485"/>
            <a:gd name="connsiteY41" fmla="*/ 935123 h 1329303"/>
            <a:gd name="connsiteX42" fmla="*/ 97393 w 1102485"/>
            <a:gd name="connsiteY42" fmla="*/ 701381 h 1329303"/>
            <a:gd name="connsiteX43" fmla="*/ 101289 w 1102485"/>
            <a:gd name="connsiteY43" fmla="*/ 678006 h 1329303"/>
            <a:gd name="connsiteX44" fmla="*/ 109080 w 1102485"/>
            <a:gd name="connsiteY44" fmla="*/ 646841 h 1329303"/>
            <a:gd name="connsiteX45" fmla="*/ 132454 w 1102485"/>
            <a:gd name="connsiteY45" fmla="*/ 584509 h 1329303"/>
            <a:gd name="connsiteX46" fmla="*/ 148037 w 1102485"/>
            <a:gd name="connsiteY46" fmla="*/ 518282 h 1329303"/>
            <a:gd name="connsiteX47" fmla="*/ 183098 w 1102485"/>
            <a:gd name="connsiteY47" fmla="*/ 432577 h 1329303"/>
            <a:gd name="connsiteX48" fmla="*/ 222055 w 1102485"/>
            <a:gd name="connsiteY48" fmla="*/ 358558 h 1329303"/>
            <a:gd name="connsiteX49" fmla="*/ 299969 w 1102485"/>
            <a:gd name="connsiteY49" fmla="*/ 257270 h 1329303"/>
            <a:gd name="connsiteX50" fmla="*/ 346718 w 1102485"/>
            <a:gd name="connsiteY50" fmla="*/ 210522 h 1329303"/>
            <a:gd name="connsiteX51" fmla="*/ 362301 w 1102485"/>
            <a:gd name="connsiteY51" fmla="*/ 202730 h 1329303"/>
            <a:gd name="connsiteX52" fmla="*/ 385675 w 1102485"/>
            <a:gd name="connsiteY52" fmla="*/ 194939 h 1329303"/>
            <a:gd name="connsiteX53" fmla="*/ 405154 w 1102485"/>
            <a:gd name="connsiteY53" fmla="*/ 179356 h 1329303"/>
            <a:gd name="connsiteX54" fmla="*/ 420736 w 1102485"/>
            <a:gd name="connsiteY54" fmla="*/ 167669 h 1329303"/>
            <a:gd name="connsiteX55" fmla="*/ 448006 w 1102485"/>
            <a:gd name="connsiteY55" fmla="*/ 140399 h 1329303"/>
            <a:gd name="connsiteX56" fmla="*/ 475276 w 1102485"/>
            <a:gd name="connsiteY56" fmla="*/ 120920 h 1329303"/>
            <a:gd name="connsiteX57" fmla="*/ 486963 w 1102485"/>
            <a:gd name="connsiteY57" fmla="*/ 117025 h 1329303"/>
            <a:gd name="connsiteX58" fmla="*/ 467485 w 1102485"/>
            <a:gd name="connsiteY58" fmla="*/ 124816 h 1329303"/>
            <a:gd name="connsiteX59" fmla="*/ 440215 w 1102485"/>
            <a:gd name="connsiteY59" fmla="*/ 148190 h 1329303"/>
            <a:gd name="connsiteX60" fmla="*/ 385675 w 1102485"/>
            <a:gd name="connsiteY60" fmla="*/ 194939 h 1329303"/>
            <a:gd name="connsiteX61" fmla="*/ 350614 w 1102485"/>
            <a:gd name="connsiteY61" fmla="*/ 230000 h 1329303"/>
            <a:gd name="connsiteX62" fmla="*/ 299969 w 1102485"/>
            <a:gd name="connsiteY62" fmla="*/ 300123 h 1329303"/>
            <a:gd name="connsiteX63" fmla="*/ 284387 w 1102485"/>
            <a:gd name="connsiteY63" fmla="*/ 331288 h 1329303"/>
            <a:gd name="connsiteX64" fmla="*/ 272700 w 1102485"/>
            <a:gd name="connsiteY64" fmla="*/ 362454 h 1329303"/>
            <a:gd name="connsiteX65" fmla="*/ 249325 w 1102485"/>
            <a:gd name="connsiteY65" fmla="*/ 444264 h 1329303"/>
            <a:gd name="connsiteX66" fmla="*/ 233742 w 1102485"/>
            <a:gd name="connsiteY66" fmla="*/ 533865 h 1329303"/>
            <a:gd name="connsiteX67" fmla="*/ 222055 w 1102485"/>
            <a:gd name="connsiteY67" fmla="*/ 678006 h 1329303"/>
            <a:gd name="connsiteX68" fmla="*/ 214264 w 1102485"/>
            <a:gd name="connsiteY68" fmla="*/ 759816 h 1329303"/>
            <a:gd name="connsiteX69" fmla="*/ 206473 w 1102485"/>
            <a:gd name="connsiteY69" fmla="*/ 853313 h 1329303"/>
            <a:gd name="connsiteX70" fmla="*/ 202577 w 1102485"/>
            <a:gd name="connsiteY70" fmla="*/ 907853 h 1329303"/>
            <a:gd name="connsiteX71" fmla="*/ 198681 w 1102485"/>
            <a:gd name="connsiteY71" fmla="*/ 946810 h 1329303"/>
            <a:gd name="connsiteX72" fmla="*/ 202577 w 1102485"/>
            <a:gd name="connsiteY72" fmla="*/ 1075368 h 1329303"/>
            <a:gd name="connsiteX73" fmla="*/ 210368 w 1102485"/>
            <a:gd name="connsiteY73" fmla="*/ 1114325 h 1329303"/>
            <a:gd name="connsiteX74" fmla="*/ 261012 w 1102485"/>
            <a:gd name="connsiteY74" fmla="*/ 1250675 h 1329303"/>
            <a:gd name="connsiteX75" fmla="*/ 276595 w 1102485"/>
            <a:gd name="connsiteY75" fmla="*/ 1281841 h 1329303"/>
            <a:gd name="connsiteX76" fmla="*/ 296074 w 1102485"/>
            <a:gd name="connsiteY76" fmla="*/ 1301319 h 1329303"/>
            <a:gd name="connsiteX77" fmla="*/ 315552 w 1102485"/>
            <a:gd name="connsiteY77" fmla="*/ 1305215 h 1329303"/>
            <a:gd name="connsiteX78" fmla="*/ 296074 w 1102485"/>
            <a:gd name="connsiteY78" fmla="*/ 1285736 h 1329303"/>
            <a:gd name="connsiteX79" fmla="*/ 218160 w 1102485"/>
            <a:gd name="connsiteY79" fmla="*/ 1200031 h 1329303"/>
            <a:gd name="connsiteX80" fmla="*/ 155828 w 1102485"/>
            <a:gd name="connsiteY80" fmla="*/ 1059785 h 1329303"/>
            <a:gd name="connsiteX81" fmla="*/ 120767 w 1102485"/>
            <a:gd name="connsiteY81" fmla="*/ 861104 h 1329303"/>
            <a:gd name="connsiteX82" fmla="*/ 109080 w 1102485"/>
            <a:gd name="connsiteY82" fmla="*/ 693589 h 1329303"/>
            <a:gd name="connsiteX83" fmla="*/ 116871 w 1102485"/>
            <a:gd name="connsiteY83" fmla="*/ 561135 h 1329303"/>
            <a:gd name="connsiteX84" fmla="*/ 148037 w 1102485"/>
            <a:gd name="connsiteY84" fmla="*/ 463742 h 1329303"/>
            <a:gd name="connsiteX85" fmla="*/ 163620 w 1102485"/>
            <a:gd name="connsiteY85" fmla="*/ 432577 h 1329303"/>
            <a:gd name="connsiteX86" fmla="*/ 171411 w 1102485"/>
            <a:gd name="connsiteY86" fmla="*/ 409203 h 1329303"/>
            <a:gd name="connsiteX87" fmla="*/ 190890 w 1102485"/>
            <a:gd name="connsiteY87" fmla="*/ 350767 h 1329303"/>
            <a:gd name="connsiteX88" fmla="*/ 261012 w 1102485"/>
            <a:gd name="connsiteY88" fmla="*/ 222209 h 1329303"/>
            <a:gd name="connsiteX89" fmla="*/ 299969 w 1102485"/>
            <a:gd name="connsiteY89" fmla="*/ 167669 h 1329303"/>
            <a:gd name="connsiteX90" fmla="*/ 323344 w 1102485"/>
            <a:gd name="connsiteY90" fmla="*/ 148190 h 1329303"/>
            <a:gd name="connsiteX91" fmla="*/ 354509 w 1102485"/>
            <a:gd name="connsiteY91" fmla="*/ 140399 h 1329303"/>
            <a:gd name="connsiteX92" fmla="*/ 405154 w 1102485"/>
            <a:gd name="connsiteY92" fmla="*/ 132607 h 1329303"/>
            <a:gd name="connsiteX93" fmla="*/ 420736 w 1102485"/>
            <a:gd name="connsiteY93" fmla="*/ 124816 h 1329303"/>
            <a:gd name="connsiteX94" fmla="*/ 432423 w 1102485"/>
            <a:gd name="connsiteY94" fmla="*/ 120920 h 1329303"/>
            <a:gd name="connsiteX95" fmla="*/ 397362 w 1102485"/>
            <a:gd name="connsiteY95" fmla="*/ 152086 h 1329303"/>
            <a:gd name="connsiteX96" fmla="*/ 362301 w 1102485"/>
            <a:gd name="connsiteY96" fmla="*/ 187147 h 1329303"/>
            <a:gd name="connsiteX97" fmla="*/ 253221 w 1102485"/>
            <a:gd name="connsiteY97" fmla="*/ 319601 h 1329303"/>
            <a:gd name="connsiteX98" fmla="*/ 190890 w 1102485"/>
            <a:gd name="connsiteY98" fmla="*/ 416994 h 1329303"/>
            <a:gd name="connsiteX99" fmla="*/ 151933 w 1102485"/>
            <a:gd name="connsiteY99" fmla="*/ 498804 h 1329303"/>
            <a:gd name="connsiteX100" fmla="*/ 136350 w 1102485"/>
            <a:gd name="connsiteY100" fmla="*/ 537761 h 1329303"/>
            <a:gd name="connsiteX101" fmla="*/ 105184 w 1102485"/>
            <a:gd name="connsiteY101" fmla="*/ 639049 h 1329303"/>
            <a:gd name="connsiteX102" fmla="*/ 93497 w 1102485"/>
            <a:gd name="connsiteY102" fmla="*/ 681902 h 1329303"/>
            <a:gd name="connsiteX103" fmla="*/ 89601 w 1102485"/>
            <a:gd name="connsiteY103" fmla="*/ 709172 h 1329303"/>
            <a:gd name="connsiteX104" fmla="*/ 85706 w 1102485"/>
            <a:gd name="connsiteY104" fmla="*/ 732546 h 1329303"/>
            <a:gd name="connsiteX105" fmla="*/ 81810 w 1102485"/>
            <a:gd name="connsiteY105" fmla="*/ 783190 h 1329303"/>
            <a:gd name="connsiteX106" fmla="*/ 77914 w 1102485"/>
            <a:gd name="connsiteY106" fmla="*/ 806565 h 1329303"/>
            <a:gd name="connsiteX107" fmla="*/ 85706 w 1102485"/>
            <a:gd name="connsiteY107" fmla="*/ 931227 h 1329303"/>
            <a:gd name="connsiteX108" fmla="*/ 93497 w 1102485"/>
            <a:gd name="connsiteY108" fmla="*/ 950706 h 1329303"/>
            <a:gd name="connsiteX109" fmla="*/ 132454 w 1102485"/>
            <a:gd name="connsiteY109" fmla="*/ 1005246 h 1329303"/>
            <a:gd name="connsiteX110" fmla="*/ 148037 w 1102485"/>
            <a:gd name="connsiteY110" fmla="*/ 1024724 h 1329303"/>
            <a:gd name="connsiteX111" fmla="*/ 155828 w 1102485"/>
            <a:gd name="connsiteY111" fmla="*/ 1036411 h 1329303"/>
            <a:gd name="connsiteX112" fmla="*/ 167516 w 1102485"/>
            <a:gd name="connsiteY112" fmla="*/ 1044203 h 1329303"/>
            <a:gd name="connsiteX113" fmla="*/ 194785 w 1102485"/>
            <a:gd name="connsiteY113" fmla="*/ 1059785 h 1329303"/>
            <a:gd name="connsiteX114" fmla="*/ 233742 w 1102485"/>
            <a:gd name="connsiteY114" fmla="*/ 1090951 h 1329303"/>
            <a:gd name="connsiteX115" fmla="*/ 261012 w 1102485"/>
            <a:gd name="connsiteY115" fmla="*/ 1110430 h 1329303"/>
            <a:gd name="connsiteX116" fmla="*/ 307761 w 1102485"/>
            <a:gd name="connsiteY116" fmla="*/ 1149387 h 1329303"/>
            <a:gd name="connsiteX117" fmla="*/ 338927 w 1102485"/>
            <a:gd name="connsiteY117" fmla="*/ 1176657 h 1329303"/>
            <a:gd name="connsiteX118" fmla="*/ 350614 w 1102485"/>
            <a:gd name="connsiteY118" fmla="*/ 1180552 h 1329303"/>
            <a:gd name="connsiteX119" fmla="*/ 288282 w 1102485"/>
            <a:gd name="connsiteY119" fmla="*/ 1067577 h 1329303"/>
            <a:gd name="connsiteX120" fmla="*/ 268804 w 1102485"/>
            <a:gd name="connsiteY120" fmla="*/ 1032515 h 1329303"/>
            <a:gd name="connsiteX121" fmla="*/ 233742 w 1102485"/>
            <a:gd name="connsiteY121" fmla="*/ 977976 h 1329303"/>
            <a:gd name="connsiteX122" fmla="*/ 225951 w 1102485"/>
            <a:gd name="connsiteY122" fmla="*/ 954601 h 1329303"/>
            <a:gd name="connsiteX123" fmla="*/ 218160 w 1102485"/>
            <a:gd name="connsiteY123" fmla="*/ 896166 h 1329303"/>
            <a:gd name="connsiteX124" fmla="*/ 202577 w 1102485"/>
            <a:gd name="connsiteY124" fmla="*/ 798773 h 1329303"/>
            <a:gd name="connsiteX125" fmla="*/ 190890 w 1102485"/>
            <a:gd name="connsiteY125" fmla="*/ 752025 h 1329303"/>
            <a:gd name="connsiteX126" fmla="*/ 179203 w 1102485"/>
            <a:gd name="connsiteY126" fmla="*/ 689693 h 1329303"/>
            <a:gd name="connsiteX127" fmla="*/ 183098 w 1102485"/>
            <a:gd name="connsiteY127" fmla="*/ 483221 h 1329303"/>
            <a:gd name="connsiteX128" fmla="*/ 202577 w 1102485"/>
            <a:gd name="connsiteY128" fmla="*/ 362454 h 1329303"/>
            <a:gd name="connsiteX129" fmla="*/ 214264 w 1102485"/>
            <a:gd name="connsiteY129" fmla="*/ 311810 h 1329303"/>
            <a:gd name="connsiteX130" fmla="*/ 225951 w 1102485"/>
            <a:gd name="connsiteY130" fmla="*/ 276749 h 1329303"/>
            <a:gd name="connsiteX131" fmla="*/ 249325 w 1102485"/>
            <a:gd name="connsiteY131" fmla="*/ 226104 h 1329303"/>
            <a:gd name="connsiteX132" fmla="*/ 280491 w 1102485"/>
            <a:gd name="connsiteY132" fmla="*/ 194939 h 1329303"/>
            <a:gd name="connsiteX133" fmla="*/ 299969 w 1102485"/>
            <a:gd name="connsiteY133" fmla="*/ 175460 h 1329303"/>
            <a:gd name="connsiteX134" fmla="*/ 319448 w 1102485"/>
            <a:gd name="connsiteY134" fmla="*/ 159877 h 1329303"/>
            <a:gd name="connsiteX135" fmla="*/ 335031 w 1102485"/>
            <a:gd name="connsiteY135" fmla="*/ 144295 h 1329303"/>
            <a:gd name="connsiteX136" fmla="*/ 346718 w 1102485"/>
            <a:gd name="connsiteY136" fmla="*/ 136503 h 1329303"/>
            <a:gd name="connsiteX137" fmla="*/ 370092 w 1102485"/>
            <a:gd name="connsiteY137" fmla="*/ 113129 h 1329303"/>
            <a:gd name="connsiteX138" fmla="*/ 393466 w 1102485"/>
            <a:gd name="connsiteY138" fmla="*/ 89755 h 1329303"/>
            <a:gd name="connsiteX139" fmla="*/ 436319 w 1102485"/>
            <a:gd name="connsiteY139" fmla="*/ 46902 h 1329303"/>
            <a:gd name="connsiteX140" fmla="*/ 448006 w 1102485"/>
            <a:gd name="connsiteY140" fmla="*/ 35215 h 1329303"/>
            <a:gd name="connsiteX141" fmla="*/ 455798 w 1102485"/>
            <a:gd name="connsiteY141" fmla="*/ 27423 h 1329303"/>
            <a:gd name="connsiteX142" fmla="*/ 451902 w 1102485"/>
            <a:gd name="connsiteY142" fmla="*/ 43006 h 1329303"/>
            <a:gd name="connsiteX143" fmla="*/ 440215 w 1102485"/>
            <a:gd name="connsiteY143" fmla="*/ 50798 h 1329303"/>
            <a:gd name="connsiteX144" fmla="*/ 432423 w 1102485"/>
            <a:gd name="connsiteY144" fmla="*/ 58589 h 1329303"/>
            <a:gd name="connsiteX145" fmla="*/ 424632 w 1102485"/>
            <a:gd name="connsiteY145" fmla="*/ 70276 h 1329303"/>
            <a:gd name="connsiteX146" fmla="*/ 412945 w 1102485"/>
            <a:gd name="connsiteY146" fmla="*/ 85859 h 1329303"/>
            <a:gd name="connsiteX147" fmla="*/ 405154 w 1102485"/>
            <a:gd name="connsiteY147" fmla="*/ 101442 h 1329303"/>
            <a:gd name="connsiteX148" fmla="*/ 397362 w 1102485"/>
            <a:gd name="connsiteY148" fmla="*/ 113129 h 1329303"/>
            <a:gd name="connsiteX149" fmla="*/ 389571 w 1102485"/>
            <a:gd name="connsiteY149" fmla="*/ 128712 h 1329303"/>
            <a:gd name="connsiteX150" fmla="*/ 377884 w 1102485"/>
            <a:gd name="connsiteY150" fmla="*/ 144295 h 1329303"/>
            <a:gd name="connsiteX151" fmla="*/ 370092 w 1102485"/>
            <a:gd name="connsiteY151" fmla="*/ 163773 h 1329303"/>
            <a:gd name="connsiteX152" fmla="*/ 358405 w 1102485"/>
            <a:gd name="connsiteY152" fmla="*/ 183252 h 1329303"/>
            <a:gd name="connsiteX153" fmla="*/ 342822 w 1102485"/>
            <a:gd name="connsiteY153" fmla="*/ 206626 h 1329303"/>
            <a:gd name="connsiteX154" fmla="*/ 315552 w 1102485"/>
            <a:gd name="connsiteY154" fmla="*/ 276749 h 1329303"/>
            <a:gd name="connsiteX155" fmla="*/ 296074 w 1102485"/>
            <a:gd name="connsiteY155" fmla="*/ 311810 h 1329303"/>
            <a:gd name="connsiteX156" fmla="*/ 268804 w 1102485"/>
            <a:gd name="connsiteY156" fmla="*/ 389724 h 1329303"/>
            <a:gd name="connsiteX157" fmla="*/ 257117 w 1102485"/>
            <a:gd name="connsiteY157" fmla="*/ 436473 h 1329303"/>
            <a:gd name="connsiteX158" fmla="*/ 233742 w 1102485"/>
            <a:gd name="connsiteY158" fmla="*/ 537761 h 1329303"/>
            <a:gd name="connsiteX159" fmla="*/ 225951 w 1102485"/>
            <a:gd name="connsiteY159" fmla="*/ 631258 h 1329303"/>
            <a:gd name="connsiteX160" fmla="*/ 222055 w 1102485"/>
            <a:gd name="connsiteY160" fmla="*/ 674111 h 1329303"/>
            <a:gd name="connsiteX161" fmla="*/ 225951 w 1102485"/>
            <a:gd name="connsiteY161" fmla="*/ 946810 h 1329303"/>
            <a:gd name="connsiteX162" fmla="*/ 233742 w 1102485"/>
            <a:gd name="connsiteY162" fmla="*/ 985767 h 1329303"/>
            <a:gd name="connsiteX163" fmla="*/ 241534 w 1102485"/>
            <a:gd name="connsiteY163" fmla="*/ 1055890 h 1329303"/>
            <a:gd name="connsiteX164" fmla="*/ 249325 w 1102485"/>
            <a:gd name="connsiteY164" fmla="*/ 1090951 h 1329303"/>
            <a:gd name="connsiteX165" fmla="*/ 257117 w 1102485"/>
            <a:gd name="connsiteY165" fmla="*/ 1110430 h 1329303"/>
            <a:gd name="connsiteX166" fmla="*/ 261012 w 1102485"/>
            <a:gd name="connsiteY166" fmla="*/ 1122117 h 1329303"/>
            <a:gd name="connsiteX167" fmla="*/ 264908 w 1102485"/>
            <a:gd name="connsiteY167" fmla="*/ 1137700 h 1329303"/>
            <a:gd name="connsiteX168" fmla="*/ 276595 w 1102485"/>
            <a:gd name="connsiteY168" fmla="*/ 1153282 h 1329303"/>
            <a:gd name="connsiteX169" fmla="*/ 288282 w 1102485"/>
            <a:gd name="connsiteY169" fmla="*/ 1172761 h 1329303"/>
            <a:gd name="connsiteX170" fmla="*/ 315552 w 1102485"/>
            <a:gd name="connsiteY170" fmla="*/ 1211718 h 1329303"/>
            <a:gd name="connsiteX171" fmla="*/ 335031 w 1102485"/>
            <a:gd name="connsiteY171" fmla="*/ 1231196 h 1329303"/>
            <a:gd name="connsiteX172" fmla="*/ 315552 w 1102485"/>
            <a:gd name="connsiteY172" fmla="*/ 1227301 h 1329303"/>
            <a:gd name="connsiteX173" fmla="*/ 303865 w 1102485"/>
            <a:gd name="connsiteY173" fmla="*/ 1219509 h 1329303"/>
            <a:gd name="connsiteX174" fmla="*/ 288282 w 1102485"/>
            <a:gd name="connsiteY174" fmla="*/ 1211718 h 1329303"/>
            <a:gd name="connsiteX175" fmla="*/ 264908 w 1102485"/>
            <a:gd name="connsiteY175" fmla="*/ 1192239 h 1329303"/>
            <a:gd name="connsiteX176" fmla="*/ 218160 w 1102485"/>
            <a:gd name="connsiteY176" fmla="*/ 1141595 h 1329303"/>
            <a:gd name="connsiteX177" fmla="*/ 190890 w 1102485"/>
            <a:gd name="connsiteY177" fmla="*/ 1106534 h 1329303"/>
            <a:gd name="connsiteX178" fmla="*/ 148037 w 1102485"/>
            <a:gd name="connsiteY178" fmla="*/ 997454 h 1329303"/>
            <a:gd name="connsiteX179" fmla="*/ 120767 w 1102485"/>
            <a:gd name="connsiteY179" fmla="*/ 876687 h 1329303"/>
            <a:gd name="connsiteX180" fmla="*/ 112976 w 1102485"/>
            <a:gd name="connsiteY180" fmla="*/ 829939 h 1329303"/>
            <a:gd name="connsiteX181" fmla="*/ 109080 w 1102485"/>
            <a:gd name="connsiteY181" fmla="*/ 790982 h 1329303"/>
            <a:gd name="connsiteX182" fmla="*/ 101289 w 1102485"/>
            <a:gd name="connsiteY182" fmla="*/ 755920 h 1329303"/>
            <a:gd name="connsiteX183" fmla="*/ 93497 w 1102485"/>
            <a:gd name="connsiteY183" fmla="*/ 584509 h 1329303"/>
            <a:gd name="connsiteX184" fmla="*/ 105184 w 1102485"/>
            <a:gd name="connsiteY184" fmla="*/ 448160 h 1329303"/>
            <a:gd name="connsiteX185" fmla="*/ 120767 w 1102485"/>
            <a:gd name="connsiteY185" fmla="*/ 385828 h 1329303"/>
            <a:gd name="connsiteX186" fmla="*/ 190890 w 1102485"/>
            <a:gd name="connsiteY186" fmla="*/ 230000 h 1329303"/>
            <a:gd name="connsiteX187" fmla="*/ 245430 w 1102485"/>
            <a:gd name="connsiteY187" fmla="*/ 140399 h 1329303"/>
            <a:gd name="connsiteX188" fmla="*/ 264908 w 1102485"/>
            <a:gd name="connsiteY188" fmla="*/ 105338 h 1329303"/>
            <a:gd name="connsiteX189" fmla="*/ 276595 w 1102485"/>
            <a:gd name="connsiteY189" fmla="*/ 85859 h 1329303"/>
            <a:gd name="connsiteX190" fmla="*/ 284387 w 1102485"/>
            <a:gd name="connsiteY190" fmla="*/ 78068 h 1329303"/>
            <a:gd name="connsiteX191" fmla="*/ 292178 w 1102485"/>
            <a:gd name="connsiteY191" fmla="*/ 66381 h 1329303"/>
            <a:gd name="connsiteX192" fmla="*/ 315552 w 1102485"/>
            <a:gd name="connsiteY192" fmla="*/ 62485 h 1329303"/>
            <a:gd name="connsiteX193" fmla="*/ 366196 w 1102485"/>
            <a:gd name="connsiteY193" fmla="*/ 58589 h 1329303"/>
            <a:gd name="connsiteX194" fmla="*/ 393466 w 1102485"/>
            <a:gd name="connsiteY194" fmla="*/ 62485 h 1329303"/>
            <a:gd name="connsiteX195" fmla="*/ 381779 w 1102485"/>
            <a:gd name="connsiteY195" fmla="*/ 70276 h 1329303"/>
            <a:gd name="connsiteX196" fmla="*/ 358405 w 1102485"/>
            <a:gd name="connsiteY196" fmla="*/ 93650 h 1329303"/>
            <a:gd name="connsiteX197" fmla="*/ 335031 w 1102485"/>
            <a:gd name="connsiteY197" fmla="*/ 109233 h 1329303"/>
            <a:gd name="connsiteX198" fmla="*/ 319448 w 1102485"/>
            <a:gd name="connsiteY198" fmla="*/ 117025 h 1329303"/>
            <a:gd name="connsiteX199" fmla="*/ 307761 w 1102485"/>
            <a:gd name="connsiteY199" fmla="*/ 128712 h 1329303"/>
            <a:gd name="connsiteX200" fmla="*/ 264908 w 1102485"/>
            <a:gd name="connsiteY200" fmla="*/ 167669 h 1329303"/>
            <a:gd name="connsiteX201" fmla="*/ 229847 w 1102485"/>
            <a:gd name="connsiteY201" fmla="*/ 214417 h 1329303"/>
            <a:gd name="connsiteX202" fmla="*/ 214264 w 1102485"/>
            <a:gd name="connsiteY202" fmla="*/ 237792 h 1329303"/>
            <a:gd name="connsiteX203" fmla="*/ 206473 w 1102485"/>
            <a:gd name="connsiteY203" fmla="*/ 261166 h 1329303"/>
            <a:gd name="connsiteX204" fmla="*/ 198681 w 1102485"/>
            <a:gd name="connsiteY204" fmla="*/ 280644 h 1329303"/>
            <a:gd name="connsiteX205" fmla="*/ 194785 w 1102485"/>
            <a:gd name="connsiteY205" fmla="*/ 300123 h 1329303"/>
            <a:gd name="connsiteX206" fmla="*/ 186994 w 1102485"/>
            <a:gd name="connsiteY206" fmla="*/ 350767 h 1329303"/>
            <a:gd name="connsiteX207" fmla="*/ 179203 w 1102485"/>
            <a:gd name="connsiteY207" fmla="*/ 397515 h 1329303"/>
            <a:gd name="connsiteX208" fmla="*/ 167516 w 1102485"/>
            <a:gd name="connsiteY208" fmla="*/ 452055 h 1329303"/>
            <a:gd name="connsiteX209" fmla="*/ 151933 w 1102485"/>
            <a:gd name="connsiteY209" fmla="*/ 557239 h 1329303"/>
            <a:gd name="connsiteX210" fmla="*/ 155828 w 1102485"/>
            <a:gd name="connsiteY210" fmla="*/ 779295 h 1329303"/>
            <a:gd name="connsiteX211" fmla="*/ 171411 w 1102485"/>
            <a:gd name="connsiteY211" fmla="*/ 826043 h 1329303"/>
            <a:gd name="connsiteX212" fmla="*/ 179203 w 1102485"/>
            <a:gd name="connsiteY212" fmla="*/ 849417 h 1329303"/>
            <a:gd name="connsiteX213" fmla="*/ 183098 w 1102485"/>
            <a:gd name="connsiteY213" fmla="*/ 865000 h 1329303"/>
            <a:gd name="connsiteX214" fmla="*/ 198681 w 1102485"/>
            <a:gd name="connsiteY214" fmla="*/ 888374 h 1329303"/>
            <a:gd name="connsiteX215" fmla="*/ 202577 w 1102485"/>
            <a:gd name="connsiteY215" fmla="*/ 900061 h 1329303"/>
            <a:gd name="connsiteX216" fmla="*/ 206473 w 1102485"/>
            <a:gd name="connsiteY216" fmla="*/ 915644 h 1329303"/>
            <a:gd name="connsiteX217" fmla="*/ 214264 w 1102485"/>
            <a:gd name="connsiteY217" fmla="*/ 935123 h 1329303"/>
            <a:gd name="connsiteX218" fmla="*/ 218160 w 1102485"/>
            <a:gd name="connsiteY218" fmla="*/ 950706 h 1329303"/>
            <a:gd name="connsiteX219" fmla="*/ 225951 w 1102485"/>
            <a:gd name="connsiteY219" fmla="*/ 974080 h 1329303"/>
            <a:gd name="connsiteX220" fmla="*/ 249325 w 1102485"/>
            <a:gd name="connsiteY220" fmla="*/ 1001350 h 1329303"/>
            <a:gd name="connsiteX221" fmla="*/ 257117 w 1102485"/>
            <a:gd name="connsiteY221" fmla="*/ 1009141 h 1329303"/>
            <a:gd name="connsiteX222" fmla="*/ 272700 w 1102485"/>
            <a:gd name="connsiteY222" fmla="*/ 1028620 h 1329303"/>
            <a:gd name="connsiteX223" fmla="*/ 268804 w 1102485"/>
            <a:gd name="connsiteY223" fmla="*/ 1016933 h 1329303"/>
            <a:gd name="connsiteX224" fmla="*/ 257117 w 1102485"/>
            <a:gd name="connsiteY224" fmla="*/ 1009141 h 1329303"/>
            <a:gd name="connsiteX225" fmla="*/ 249325 w 1102485"/>
            <a:gd name="connsiteY225" fmla="*/ 1001350 h 1329303"/>
            <a:gd name="connsiteX226" fmla="*/ 245430 w 1102485"/>
            <a:gd name="connsiteY226" fmla="*/ 989663 h 1329303"/>
            <a:gd name="connsiteX227" fmla="*/ 237638 w 1102485"/>
            <a:gd name="connsiteY227" fmla="*/ 977976 h 1329303"/>
            <a:gd name="connsiteX228" fmla="*/ 206473 w 1102485"/>
            <a:gd name="connsiteY228" fmla="*/ 935123 h 1329303"/>
            <a:gd name="connsiteX229" fmla="*/ 179203 w 1102485"/>
            <a:gd name="connsiteY229" fmla="*/ 892270 h 1329303"/>
            <a:gd name="connsiteX230" fmla="*/ 151933 w 1102485"/>
            <a:gd name="connsiteY230" fmla="*/ 833834 h 1329303"/>
            <a:gd name="connsiteX231" fmla="*/ 109080 w 1102485"/>
            <a:gd name="connsiteY231" fmla="*/ 662423 h 1329303"/>
            <a:gd name="connsiteX232" fmla="*/ 105184 w 1102485"/>
            <a:gd name="connsiteY232" fmla="*/ 576718 h 1329303"/>
            <a:gd name="connsiteX233" fmla="*/ 97393 w 1102485"/>
            <a:gd name="connsiteY233" fmla="*/ 487117 h 1329303"/>
            <a:gd name="connsiteX234" fmla="*/ 109080 w 1102485"/>
            <a:gd name="connsiteY234" fmla="*/ 315706 h 1329303"/>
            <a:gd name="connsiteX235" fmla="*/ 124663 w 1102485"/>
            <a:gd name="connsiteY235" fmla="*/ 265061 h 1329303"/>
            <a:gd name="connsiteX236" fmla="*/ 198681 w 1102485"/>
            <a:gd name="connsiteY236" fmla="*/ 120920 h 1329303"/>
            <a:gd name="connsiteX237" fmla="*/ 237638 w 1102485"/>
            <a:gd name="connsiteY237" fmla="*/ 74172 h 1329303"/>
            <a:gd name="connsiteX238" fmla="*/ 257117 w 1102485"/>
            <a:gd name="connsiteY238" fmla="*/ 50798 h 1329303"/>
            <a:gd name="connsiteX239" fmla="*/ 272700 w 1102485"/>
            <a:gd name="connsiteY239" fmla="*/ 31319 h 1329303"/>
            <a:gd name="connsiteX240" fmla="*/ 284387 w 1102485"/>
            <a:gd name="connsiteY240" fmla="*/ 19632 h 1329303"/>
            <a:gd name="connsiteX241" fmla="*/ 296074 w 1102485"/>
            <a:gd name="connsiteY241" fmla="*/ 154 h 1329303"/>
            <a:gd name="connsiteX242" fmla="*/ 299969 w 1102485"/>
            <a:gd name="connsiteY242" fmla="*/ 11841 h 1329303"/>
            <a:gd name="connsiteX243" fmla="*/ 296074 w 1102485"/>
            <a:gd name="connsiteY243" fmla="*/ 27423 h 1329303"/>
            <a:gd name="connsiteX244" fmla="*/ 272700 w 1102485"/>
            <a:gd name="connsiteY244" fmla="*/ 58589 h 1329303"/>
            <a:gd name="connsiteX245" fmla="*/ 261012 w 1102485"/>
            <a:gd name="connsiteY245" fmla="*/ 74172 h 1329303"/>
            <a:gd name="connsiteX246" fmla="*/ 245430 w 1102485"/>
            <a:gd name="connsiteY246" fmla="*/ 113129 h 1329303"/>
            <a:gd name="connsiteX247" fmla="*/ 214264 w 1102485"/>
            <a:gd name="connsiteY247" fmla="*/ 191043 h 1329303"/>
            <a:gd name="connsiteX248" fmla="*/ 190890 w 1102485"/>
            <a:gd name="connsiteY248" fmla="*/ 249479 h 1329303"/>
            <a:gd name="connsiteX249" fmla="*/ 183098 w 1102485"/>
            <a:gd name="connsiteY249" fmla="*/ 315706 h 1329303"/>
            <a:gd name="connsiteX250" fmla="*/ 171411 w 1102485"/>
            <a:gd name="connsiteY250" fmla="*/ 374141 h 1329303"/>
            <a:gd name="connsiteX251" fmla="*/ 167516 w 1102485"/>
            <a:gd name="connsiteY251" fmla="*/ 397515 h 1329303"/>
            <a:gd name="connsiteX252" fmla="*/ 155828 w 1102485"/>
            <a:gd name="connsiteY252" fmla="*/ 494908 h 1329303"/>
            <a:gd name="connsiteX253" fmla="*/ 136350 w 1102485"/>
            <a:gd name="connsiteY253" fmla="*/ 615675 h 1329303"/>
            <a:gd name="connsiteX254" fmla="*/ 140246 w 1102485"/>
            <a:gd name="connsiteY254" fmla="*/ 709172 h 1329303"/>
            <a:gd name="connsiteX255" fmla="*/ 144141 w 1102485"/>
            <a:gd name="connsiteY255" fmla="*/ 740338 h 1329303"/>
            <a:gd name="connsiteX256" fmla="*/ 151933 w 1102485"/>
            <a:gd name="connsiteY256" fmla="*/ 763712 h 1329303"/>
            <a:gd name="connsiteX257" fmla="*/ 140246 w 1102485"/>
            <a:gd name="connsiteY257" fmla="*/ 759816 h 1329303"/>
            <a:gd name="connsiteX258" fmla="*/ 132454 w 1102485"/>
            <a:gd name="connsiteY258" fmla="*/ 779295 h 1329303"/>
            <a:gd name="connsiteX259" fmla="*/ 35062 w 1102485"/>
            <a:gd name="connsiteY259" fmla="*/ 993558 h 1329303"/>
            <a:gd name="connsiteX260" fmla="*/ 19479 w 1102485"/>
            <a:gd name="connsiteY260" fmla="*/ 1048098 h 1329303"/>
            <a:gd name="connsiteX261" fmla="*/ 15583 w 1102485"/>
            <a:gd name="connsiteY261" fmla="*/ 1059785 h 1329303"/>
            <a:gd name="connsiteX262" fmla="*/ 11687 w 1102485"/>
            <a:gd name="connsiteY262" fmla="*/ 1277945 h 1329303"/>
            <a:gd name="connsiteX263" fmla="*/ 3896 w 1102485"/>
            <a:gd name="connsiteY263" fmla="*/ 1289632 h 1329303"/>
            <a:gd name="connsiteX264" fmla="*/ 7792 w 1102485"/>
            <a:gd name="connsiteY264" fmla="*/ 1274049 h 1329303"/>
            <a:gd name="connsiteX265" fmla="*/ 23374 w 1102485"/>
            <a:gd name="connsiteY265" fmla="*/ 1180552 h 1329303"/>
            <a:gd name="connsiteX266" fmla="*/ 54540 w 1102485"/>
            <a:gd name="connsiteY266" fmla="*/ 1090951 h 1329303"/>
            <a:gd name="connsiteX267" fmla="*/ 93497 w 1102485"/>
            <a:gd name="connsiteY267" fmla="*/ 1009141 h 1329303"/>
            <a:gd name="connsiteX268" fmla="*/ 151933 w 1102485"/>
            <a:gd name="connsiteY268" fmla="*/ 903957 h 1329303"/>
            <a:gd name="connsiteX269" fmla="*/ 183098 w 1102485"/>
            <a:gd name="connsiteY269" fmla="*/ 829939 h 1329303"/>
            <a:gd name="connsiteX270" fmla="*/ 194785 w 1102485"/>
            <a:gd name="connsiteY270" fmla="*/ 794877 h 1329303"/>
            <a:gd name="connsiteX271" fmla="*/ 198681 w 1102485"/>
            <a:gd name="connsiteY271" fmla="*/ 779295 h 1329303"/>
            <a:gd name="connsiteX272" fmla="*/ 179203 w 1102485"/>
            <a:gd name="connsiteY272" fmla="*/ 802669 h 1329303"/>
            <a:gd name="connsiteX273" fmla="*/ 124663 w 1102485"/>
            <a:gd name="connsiteY273" fmla="*/ 907853 h 1329303"/>
            <a:gd name="connsiteX274" fmla="*/ 35062 w 1102485"/>
            <a:gd name="connsiteY274" fmla="*/ 1133804 h 1329303"/>
            <a:gd name="connsiteX275" fmla="*/ 19479 w 1102485"/>
            <a:gd name="connsiteY275" fmla="*/ 1192239 h 1329303"/>
            <a:gd name="connsiteX276" fmla="*/ 0 w 1102485"/>
            <a:gd name="connsiteY276" fmla="*/ 1274049 h 1329303"/>
            <a:gd name="connsiteX277" fmla="*/ 11687 w 1102485"/>
            <a:gd name="connsiteY277" fmla="*/ 1051994 h 1329303"/>
            <a:gd name="connsiteX278" fmla="*/ 38957 w 1102485"/>
            <a:gd name="connsiteY278" fmla="*/ 974080 h 1329303"/>
            <a:gd name="connsiteX279" fmla="*/ 58436 w 1102485"/>
            <a:gd name="connsiteY279" fmla="*/ 927331 h 1329303"/>
            <a:gd name="connsiteX280" fmla="*/ 77914 w 1102485"/>
            <a:gd name="connsiteY280" fmla="*/ 868896 h 1329303"/>
            <a:gd name="connsiteX281" fmla="*/ 85706 w 1102485"/>
            <a:gd name="connsiteY281" fmla="*/ 822147 h 1329303"/>
            <a:gd name="connsiteX282" fmla="*/ 97393 w 1102485"/>
            <a:gd name="connsiteY282" fmla="*/ 806565 h 1329303"/>
            <a:gd name="connsiteX283" fmla="*/ 128558 w 1102485"/>
            <a:gd name="connsiteY283" fmla="*/ 759816 h 1329303"/>
            <a:gd name="connsiteX284" fmla="*/ 136350 w 1102485"/>
            <a:gd name="connsiteY284" fmla="*/ 748129 h 1329303"/>
            <a:gd name="connsiteX285" fmla="*/ 144141 w 1102485"/>
            <a:gd name="connsiteY285" fmla="*/ 732546 h 1329303"/>
            <a:gd name="connsiteX286" fmla="*/ 148037 w 1102485"/>
            <a:gd name="connsiteY286" fmla="*/ 716963 h 1329303"/>
            <a:gd name="connsiteX287" fmla="*/ 155828 w 1102485"/>
            <a:gd name="connsiteY287" fmla="*/ 693589 h 1329303"/>
            <a:gd name="connsiteX288" fmla="*/ 167516 w 1102485"/>
            <a:gd name="connsiteY288" fmla="*/ 666319 h 1329303"/>
            <a:gd name="connsiteX289" fmla="*/ 186994 w 1102485"/>
            <a:gd name="connsiteY289" fmla="*/ 631258 h 1329303"/>
            <a:gd name="connsiteX290" fmla="*/ 194785 w 1102485"/>
            <a:gd name="connsiteY290" fmla="*/ 607884 h 1329303"/>
            <a:gd name="connsiteX291" fmla="*/ 194785 w 1102485"/>
            <a:gd name="connsiteY291" fmla="*/ 576718 h 1329303"/>
            <a:gd name="connsiteX292" fmla="*/ 202577 w 1102485"/>
            <a:gd name="connsiteY292" fmla="*/ 479325 h 1329303"/>
            <a:gd name="connsiteX293" fmla="*/ 241534 w 1102485"/>
            <a:gd name="connsiteY293" fmla="*/ 323497 h 1329303"/>
            <a:gd name="connsiteX294" fmla="*/ 261012 w 1102485"/>
            <a:gd name="connsiteY294" fmla="*/ 249479 h 1329303"/>
            <a:gd name="connsiteX295" fmla="*/ 272700 w 1102485"/>
            <a:gd name="connsiteY295" fmla="*/ 214417 h 1329303"/>
            <a:gd name="connsiteX296" fmla="*/ 280491 w 1102485"/>
            <a:gd name="connsiteY296" fmla="*/ 187147 h 1329303"/>
            <a:gd name="connsiteX297" fmla="*/ 303865 w 1102485"/>
            <a:gd name="connsiteY297" fmla="*/ 163773 h 1329303"/>
            <a:gd name="connsiteX298" fmla="*/ 323344 w 1102485"/>
            <a:gd name="connsiteY298" fmla="*/ 140399 h 1329303"/>
            <a:gd name="connsiteX299" fmla="*/ 331135 w 1102485"/>
            <a:gd name="connsiteY299" fmla="*/ 163773 h 1329303"/>
            <a:gd name="connsiteX300" fmla="*/ 354509 w 1102485"/>
            <a:gd name="connsiteY300" fmla="*/ 179356 h 1329303"/>
            <a:gd name="connsiteX301" fmla="*/ 373988 w 1102485"/>
            <a:gd name="connsiteY301" fmla="*/ 191043 h 1329303"/>
            <a:gd name="connsiteX302" fmla="*/ 436319 w 1102485"/>
            <a:gd name="connsiteY302" fmla="*/ 230000 h 1329303"/>
            <a:gd name="connsiteX303" fmla="*/ 510338 w 1102485"/>
            <a:gd name="connsiteY303" fmla="*/ 249479 h 1329303"/>
            <a:gd name="connsiteX304" fmla="*/ 525920 w 1102485"/>
            <a:gd name="connsiteY304" fmla="*/ 257270 h 1329303"/>
            <a:gd name="connsiteX305" fmla="*/ 514233 w 1102485"/>
            <a:gd name="connsiteY305" fmla="*/ 249479 h 1329303"/>
            <a:gd name="connsiteX306" fmla="*/ 498650 w 1102485"/>
            <a:gd name="connsiteY306" fmla="*/ 253374 h 1329303"/>
            <a:gd name="connsiteX307" fmla="*/ 510338 w 1102485"/>
            <a:gd name="connsiteY307" fmla="*/ 214417 h 1329303"/>
            <a:gd name="connsiteX308" fmla="*/ 545399 w 1102485"/>
            <a:gd name="connsiteY308" fmla="*/ 194939 h 1329303"/>
            <a:gd name="connsiteX309" fmla="*/ 576565 w 1102485"/>
            <a:gd name="connsiteY309" fmla="*/ 187147 h 1329303"/>
            <a:gd name="connsiteX310" fmla="*/ 627209 w 1102485"/>
            <a:gd name="connsiteY310" fmla="*/ 179356 h 1329303"/>
            <a:gd name="connsiteX311" fmla="*/ 677853 w 1102485"/>
            <a:gd name="connsiteY311" fmla="*/ 183252 h 1329303"/>
            <a:gd name="connsiteX312" fmla="*/ 666166 w 1102485"/>
            <a:gd name="connsiteY312" fmla="*/ 198834 h 1329303"/>
            <a:gd name="connsiteX313" fmla="*/ 619417 w 1102485"/>
            <a:gd name="connsiteY313" fmla="*/ 237792 h 1329303"/>
            <a:gd name="connsiteX314" fmla="*/ 564877 w 1102485"/>
            <a:gd name="connsiteY314" fmla="*/ 284540 h 1329303"/>
            <a:gd name="connsiteX315" fmla="*/ 506442 w 1102485"/>
            <a:gd name="connsiteY315" fmla="*/ 304019 h 1329303"/>
            <a:gd name="connsiteX316" fmla="*/ 459693 w 1102485"/>
            <a:gd name="connsiteY316" fmla="*/ 296227 h 1329303"/>
            <a:gd name="connsiteX317" fmla="*/ 451902 w 1102485"/>
            <a:gd name="connsiteY317" fmla="*/ 280644 h 1329303"/>
            <a:gd name="connsiteX318" fmla="*/ 494755 w 1102485"/>
            <a:gd name="connsiteY318" fmla="*/ 202730 h 1329303"/>
            <a:gd name="connsiteX319" fmla="*/ 553190 w 1102485"/>
            <a:gd name="connsiteY319" fmla="*/ 144295 h 1329303"/>
            <a:gd name="connsiteX320" fmla="*/ 580460 w 1102485"/>
            <a:gd name="connsiteY320" fmla="*/ 132607 h 1329303"/>
            <a:gd name="connsiteX321" fmla="*/ 627209 w 1102485"/>
            <a:gd name="connsiteY321" fmla="*/ 124816 h 1329303"/>
            <a:gd name="connsiteX322" fmla="*/ 662270 w 1102485"/>
            <a:gd name="connsiteY322" fmla="*/ 117025 h 1329303"/>
            <a:gd name="connsiteX323" fmla="*/ 670062 w 1102485"/>
            <a:gd name="connsiteY323" fmla="*/ 124816 h 1329303"/>
            <a:gd name="connsiteX324" fmla="*/ 670062 w 1102485"/>
            <a:gd name="connsiteY324" fmla="*/ 163773 h 1329303"/>
            <a:gd name="connsiteX325" fmla="*/ 658374 w 1102485"/>
            <a:gd name="connsiteY325" fmla="*/ 171565 h 1329303"/>
            <a:gd name="connsiteX326" fmla="*/ 580460 w 1102485"/>
            <a:gd name="connsiteY326" fmla="*/ 226104 h 1329303"/>
            <a:gd name="connsiteX327" fmla="*/ 444111 w 1102485"/>
            <a:gd name="connsiteY327" fmla="*/ 276749 h 1329303"/>
            <a:gd name="connsiteX328" fmla="*/ 370092 w 1102485"/>
            <a:gd name="connsiteY328" fmla="*/ 296227 h 1329303"/>
            <a:gd name="connsiteX329" fmla="*/ 299969 w 1102485"/>
            <a:gd name="connsiteY329" fmla="*/ 300123 h 1329303"/>
            <a:gd name="connsiteX330" fmla="*/ 214264 w 1102485"/>
            <a:gd name="connsiteY330" fmla="*/ 292331 h 1329303"/>
            <a:gd name="connsiteX331" fmla="*/ 206473 w 1102485"/>
            <a:gd name="connsiteY331" fmla="*/ 276749 h 1329303"/>
            <a:gd name="connsiteX332" fmla="*/ 214264 w 1102485"/>
            <a:gd name="connsiteY332" fmla="*/ 257270 h 1329303"/>
            <a:gd name="connsiteX333" fmla="*/ 253221 w 1102485"/>
            <a:gd name="connsiteY333" fmla="*/ 241687 h 1329303"/>
            <a:gd name="connsiteX334" fmla="*/ 335031 w 1102485"/>
            <a:gd name="connsiteY334" fmla="*/ 226104 h 1329303"/>
            <a:gd name="connsiteX335" fmla="*/ 440215 w 1102485"/>
            <a:gd name="connsiteY335" fmla="*/ 218313 h 1329303"/>
            <a:gd name="connsiteX336" fmla="*/ 529816 w 1102485"/>
            <a:gd name="connsiteY336" fmla="*/ 222209 h 1329303"/>
            <a:gd name="connsiteX337" fmla="*/ 619417 w 1102485"/>
            <a:gd name="connsiteY337" fmla="*/ 249479 h 1329303"/>
            <a:gd name="connsiteX338" fmla="*/ 646687 w 1102485"/>
            <a:gd name="connsiteY338" fmla="*/ 257270 h 1329303"/>
            <a:gd name="connsiteX339" fmla="*/ 654479 w 1102485"/>
            <a:gd name="connsiteY339" fmla="*/ 265061 h 1329303"/>
            <a:gd name="connsiteX340" fmla="*/ 666166 w 1102485"/>
            <a:gd name="connsiteY340" fmla="*/ 272853 h 1329303"/>
            <a:gd name="connsiteX341" fmla="*/ 662270 w 1102485"/>
            <a:gd name="connsiteY341" fmla="*/ 284540 h 1329303"/>
            <a:gd name="connsiteX342" fmla="*/ 506442 w 1102485"/>
            <a:gd name="connsiteY342" fmla="*/ 292331 h 1329303"/>
            <a:gd name="connsiteX343" fmla="*/ 370092 w 1102485"/>
            <a:gd name="connsiteY343" fmla="*/ 331288 h 1329303"/>
            <a:gd name="connsiteX344" fmla="*/ 264908 w 1102485"/>
            <a:gd name="connsiteY344" fmla="*/ 366350 h 1329303"/>
            <a:gd name="connsiteX345" fmla="*/ 81810 w 1102485"/>
            <a:gd name="connsiteY345" fmla="*/ 397515 h 1329303"/>
            <a:gd name="connsiteX346" fmla="*/ 54540 w 1102485"/>
            <a:gd name="connsiteY346" fmla="*/ 378037 h 1329303"/>
            <a:gd name="connsiteX347" fmla="*/ 77914 w 1102485"/>
            <a:gd name="connsiteY347" fmla="*/ 370246 h 1329303"/>
            <a:gd name="connsiteX348" fmla="*/ 93497 w 1102485"/>
            <a:gd name="connsiteY348" fmla="*/ 362454 h 1329303"/>
            <a:gd name="connsiteX349" fmla="*/ 116871 w 1102485"/>
            <a:gd name="connsiteY349" fmla="*/ 354663 h 1329303"/>
            <a:gd name="connsiteX350" fmla="*/ 194785 w 1102485"/>
            <a:gd name="connsiteY350" fmla="*/ 331288 h 1329303"/>
            <a:gd name="connsiteX351" fmla="*/ 338927 w 1102485"/>
            <a:gd name="connsiteY351" fmla="*/ 304019 h 1329303"/>
            <a:gd name="connsiteX352" fmla="*/ 514233 w 1102485"/>
            <a:gd name="connsiteY352" fmla="*/ 272853 h 1329303"/>
            <a:gd name="connsiteX353" fmla="*/ 588252 w 1102485"/>
            <a:gd name="connsiteY353" fmla="*/ 261166 h 1329303"/>
            <a:gd name="connsiteX354" fmla="*/ 654479 w 1102485"/>
            <a:gd name="connsiteY354" fmla="*/ 257270 h 1329303"/>
            <a:gd name="connsiteX355" fmla="*/ 712914 w 1102485"/>
            <a:gd name="connsiteY355" fmla="*/ 253374 h 1329303"/>
            <a:gd name="connsiteX356" fmla="*/ 794724 w 1102485"/>
            <a:gd name="connsiteY356" fmla="*/ 257270 h 1329303"/>
            <a:gd name="connsiteX357" fmla="*/ 802516 w 1102485"/>
            <a:gd name="connsiteY357" fmla="*/ 265061 h 1329303"/>
            <a:gd name="connsiteX358" fmla="*/ 790828 w 1102485"/>
            <a:gd name="connsiteY358" fmla="*/ 261166 h 1329303"/>
            <a:gd name="connsiteX359" fmla="*/ 771350 w 1102485"/>
            <a:gd name="connsiteY359" fmla="*/ 272853 h 1329303"/>
            <a:gd name="connsiteX360" fmla="*/ 705123 w 1102485"/>
            <a:gd name="connsiteY360" fmla="*/ 339080 h 1329303"/>
            <a:gd name="connsiteX361" fmla="*/ 709019 w 1102485"/>
            <a:gd name="connsiteY361" fmla="*/ 335184 h 1329303"/>
            <a:gd name="connsiteX362" fmla="*/ 716810 w 1102485"/>
            <a:gd name="connsiteY362" fmla="*/ 342976 h 1329303"/>
            <a:gd name="connsiteX363" fmla="*/ 728497 w 1102485"/>
            <a:gd name="connsiteY363" fmla="*/ 346871 h 1329303"/>
            <a:gd name="connsiteX364" fmla="*/ 732393 w 1102485"/>
            <a:gd name="connsiteY364" fmla="*/ 374141 h 1329303"/>
            <a:gd name="connsiteX365" fmla="*/ 755767 w 1102485"/>
            <a:gd name="connsiteY365" fmla="*/ 405307 h 1329303"/>
            <a:gd name="connsiteX366" fmla="*/ 810307 w 1102485"/>
            <a:gd name="connsiteY366" fmla="*/ 475430 h 1329303"/>
            <a:gd name="connsiteX367" fmla="*/ 837577 w 1102485"/>
            <a:gd name="connsiteY367" fmla="*/ 533865 h 1329303"/>
            <a:gd name="connsiteX368" fmla="*/ 849264 w 1102485"/>
            <a:gd name="connsiteY368" fmla="*/ 580614 h 1329303"/>
            <a:gd name="connsiteX369" fmla="*/ 853160 w 1102485"/>
            <a:gd name="connsiteY369" fmla="*/ 592301 h 1329303"/>
            <a:gd name="connsiteX370" fmla="*/ 857055 w 1102485"/>
            <a:gd name="connsiteY370" fmla="*/ 639049 h 1329303"/>
            <a:gd name="connsiteX371" fmla="*/ 860951 w 1102485"/>
            <a:gd name="connsiteY371" fmla="*/ 697485 h 1329303"/>
            <a:gd name="connsiteX372" fmla="*/ 864847 w 1102485"/>
            <a:gd name="connsiteY372" fmla="*/ 740338 h 1329303"/>
            <a:gd name="connsiteX373" fmla="*/ 860951 w 1102485"/>
            <a:gd name="connsiteY373" fmla="*/ 724755 h 1329303"/>
            <a:gd name="connsiteX374" fmla="*/ 868742 w 1102485"/>
            <a:gd name="connsiteY374" fmla="*/ 736442 h 1329303"/>
            <a:gd name="connsiteX375" fmla="*/ 872638 w 1102485"/>
            <a:gd name="connsiteY375" fmla="*/ 763712 h 1329303"/>
            <a:gd name="connsiteX376" fmla="*/ 880430 w 1102485"/>
            <a:gd name="connsiteY376" fmla="*/ 810460 h 1329303"/>
            <a:gd name="connsiteX377" fmla="*/ 884325 w 1102485"/>
            <a:gd name="connsiteY377" fmla="*/ 837730 h 1329303"/>
            <a:gd name="connsiteX378" fmla="*/ 899908 w 1102485"/>
            <a:gd name="connsiteY378" fmla="*/ 896166 h 1329303"/>
            <a:gd name="connsiteX379" fmla="*/ 907700 w 1102485"/>
            <a:gd name="connsiteY379" fmla="*/ 888374 h 1329303"/>
            <a:gd name="connsiteX380" fmla="*/ 911595 w 1102485"/>
            <a:gd name="connsiteY380" fmla="*/ 876687 h 1329303"/>
            <a:gd name="connsiteX381" fmla="*/ 915491 w 1102485"/>
            <a:gd name="connsiteY381" fmla="*/ 1098742 h 1329303"/>
            <a:gd name="connsiteX382" fmla="*/ 919387 w 1102485"/>
            <a:gd name="connsiteY382" fmla="*/ 1122117 h 1329303"/>
            <a:gd name="connsiteX383" fmla="*/ 923282 w 1102485"/>
            <a:gd name="connsiteY383" fmla="*/ 1157178 h 1329303"/>
            <a:gd name="connsiteX384" fmla="*/ 934969 w 1102485"/>
            <a:gd name="connsiteY384" fmla="*/ 1207822 h 1329303"/>
            <a:gd name="connsiteX385" fmla="*/ 938865 w 1102485"/>
            <a:gd name="connsiteY385" fmla="*/ 1005246 h 1329303"/>
            <a:gd name="connsiteX386" fmla="*/ 946657 w 1102485"/>
            <a:gd name="connsiteY386" fmla="*/ 966288 h 1329303"/>
            <a:gd name="connsiteX387" fmla="*/ 942761 w 1102485"/>
            <a:gd name="connsiteY387" fmla="*/ 814356 h 1329303"/>
            <a:gd name="connsiteX388" fmla="*/ 931074 w 1102485"/>
            <a:gd name="connsiteY388" fmla="*/ 779295 h 1329303"/>
            <a:gd name="connsiteX389" fmla="*/ 923282 w 1102485"/>
            <a:gd name="connsiteY389" fmla="*/ 767607 h 1329303"/>
            <a:gd name="connsiteX390" fmla="*/ 911595 w 1102485"/>
            <a:gd name="connsiteY390" fmla="*/ 728650 h 1329303"/>
            <a:gd name="connsiteX391" fmla="*/ 907700 w 1102485"/>
            <a:gd name="connsiteY391" fmla="*/ 705276 h 1329303"/>
            <a:gd name="connsiteX392" fmla="*/ 899908 w 1102485"/>
            <a:gd name="connsiteY392" fmla="*/ 685798 h 1329303"/>
            <a:gd name="connsiteX393" fmla="*/ 884325 w 1102485"/>
            <a:gd name="connsiteY393" fmla="*/ 658528 h 1329303"/>
            <a:gd name="connsiteX394" fmla="*/ 888221 w 1102485"/>
            <a:gd name="connsiteY394" fmla="*/ 631258 h 1329303"/>
            <a:gd name="connsiteX395" fmla="*/ 892117 w 1102485"/>
            <a:gd name="connsiteY395" fmla="*/ 646841 h 1329303"/>
            <a:gd name="connsiteX396" fmla="*/ 896012 w 1102485"/>
            <a:gd name="connsiteY396" fmla="*/ 627362 h 1329303"/>
            <a:gd name="connsiteX397" fmla="*/ 888221 w 1102485"/>
            <a:gd name="connsiteY397" fmla="*/ 432577 h 1329303"/>
            <a:gd name="connsiteX398" fmla="*/ 845368 w 1102485"/>
            <a:gd name="connsiteY398" fmla="*/ 331288 h 1329303"/>
            <a:gd name="connsiteX399" fmla="*/ 818098 w 1102485"/>
            <a:gd name="connsiteY399" fmla="*/ 272853 h 1329303"/>
            <a:gd name="connsiteX400" fmla="*/ 806411 w 1102485"/>
            <a:gd name="connsiteY400" fmla="*/ 218313 h 1329303"/>
            <a:gd name="connsiteX401" fmla="*/ 798620 w 1102485"/>
            <a:gd name="connsiteY401" fmla="*/ 230000 h 1329303"/>
            <a:gd name="connsiteX402" fmla="*/ 783037 w 1102485"/>
            <a:gd name="connsiteY402" fmla="*/ 261166 h 1329303"/>
            <a:gd name="connsiteX403" fmla="*/ 783037 w 1102485"/>
            <a:gd name="connsiteY403" fmla="*/ 335184 h 1329303"/>
            <a:gd name="connsiteX404" fmla="*/ 814203 w 1102485"/>
            <a:gd name="connsiteY404" fmla="*/ 401411 h 1329303"/>
            <a:gd name="connsiteX405" fmla="*/ 868742 w 1102485"/>
            <a:gd name="connsiteY405" fmla="*/ 506595 h 1329303"/>
            <a:gd name="connsiteX406" fmla="*/ 934969 w 1102485"/>
            <a:gd name="connsiteY406" fmla="*/ 642945 h 1329303"/>
            <a:gd name="connsiteX407" fmla="*/ 989509 w 1102485"/>
            <a:gd name="connsiteY407" fmla="*/ 755920 h 1329303"/>
            <a:gd name="connsiteX408" fmla="*/ 1028466 w 1102485"/>
            <a:gd name="connsiteY408" fmla="*/ 849417 h 1329303"/>
            <a:gd name="connsiteX409" fmla="*/ 1040154 w 1102485"/>
            <a:gd name="connsiteY409" fmla="*/ 880583 h 1329303"/>
            <a:gd name="connsiteX410" fmla="*/ 1051841 w 1102485"/>
            <a:gd name="connsiteY410" fmla="*/ 907853 h 1329303"/>
            <a:gd name="connsiteX411" fmla="*/ 1071319 w 1102485"/>
            <a:gd name="connsiteY411" fmla="*/ 974080 h 1329303"/>
            <a:gd name="connsiteX412" fmla="*/ 1083006 w 1102485"/>
            <a:gd name="connsiteY412" fmla="*/ 1024724 h 1329303"/>
            <a:gd name="connsiteX413" fmla="*/ 1086902 w 1102485"/>
            <a:gd name="connsiteY413" fmla="*/ 1055890 h 1329303"/>
            <a:gd name="connsiteX414" fmla="*/ 1090798 w 1102485"/>
            <a:gd name="connsiteY414" fmla="*/ 1071473 h 1329303"/>
            <a:gd name="connsiteX415" fmla="*/ 1102485 w 1102485"/>
            <a:gd name="connsiteY415" fmla="*/ 1137700 h 1329303"/>
            <a:gd name="connsiteX416" fmla="*/ 1036258 w 1102485"/>
            <a:gd name="connsiteY416" fmla="*/ 1141595 h 1329303"/>
            <a:gd name="connsiteX417" fmla="*/ 1032362 w 1102485"/>
            <a:gd name="connsiteY417" fmla="*/ 1126012 h 1329303"/>
            <a:gd name="connsiteX418" fmla="*/ 993405 w 1102485"/>
            <a:gd name="connsiteY418" fmla="*/ 1040307 h 1329303"/>
            <a:gd name="connsiteX419" fmla="*/ 946657 w 1102485"/>
            <a:gd name="connsiteY419" fmla="*/ 911749 h 1329303"/>
            <a:gd name="connsiteX420" fmla="*/ 938865 w 1102485"/>
            <a:gd name="connsiteY420" fmla="*/ 892270 h 1329303"/>
            <a:gd name="connsiteX421" fmla="*/ 927178 w 1102485"/>
            <a:gd name="connsiteY421" fmla="*/ 857209 h 1329303"/>
            <a:gd name="connsiteX422" fmla="*/ 919387 w 1102485"/>
            <a:gd name="connsiteY422" fmla="*/ 724755 h 1329303"/>
            <a:gd name="connsiteX423" fmla="*/ 915491 w 1102485"/>
            <a:gd name="connsiteY423" fmla="*/ 693589 h 1329303"/>
            <a:gd name="connsiteX424" fmla="*/ 923282 w 1102485"/>
            <a:gd name="connsiteY424" fmla="*/ 541657 h 1329303"/>
            <a:gd name="connsiteX425" fmla="*/ 927178 w 1102485"/>
            <a:gd name="connsiteY425" fmla="*/ 529969 h 1329303"/>
            <a:gd name="connsiteX426" fmla="*/ 931074 w 1102485"/>
            <a:gd name="connsiteY426" fmla="*/ 510491 h 1329303"/>
            <a:gd name="connsiteX427" fmla="*/ 927178 w 1102485"/>
            <a:gd name="connsiteY427" fmla="*/ 300123 h 1329303"/>
            <a:gd name="connsiteX428" fmla="*/ 907700 w 1102485"/>
            <a:gd name="connsiteY428" fmla="*/ 194939 h 1329303"/>
            <a:gd name="connsiteX429" fmla="*/ 896012 w 1102485"/>
            <a:gd name="connsiteY429" fmla="*/ 163773 h 1329303"/>
            <a:gd name="connsiteX430" fmla="*/ 880430 w 1102485"/>
            <a:gd name="connsiteY430" fmla="*/ 140399 h 1329303"/>
            <a:gd name="connsiteX431" fmla="*/ 872638 w 1102485"/>
            <a:gd name="connsiteY431" fmla="*/ 120920 h 1329303"/>
            <a:gd name="connsiteX432" fmla="*/ 860951 w 1102485"/>
            <a:gd name="connsiteY432" fmla="*/ 101442 h 1329303"/>
            <a:gd name="connsiteX433" fmla="*/ 845368 w 1102485"/>
            <a:gd name="connsiteY433" fmla="*/ 78068 h 1329303"/>
            <a:gd name="connsiteX434" fmla="*/ 833681 w 1102485"/>
            <a:gd name="connsiteY434" fmla="*/ 74172 h 1329303"/>
            <a:gd name="connsiteX435" fmla="*/ 802516 w 1102485"/>
            <a:gd name="connsiteY435" fmla="*/ 78068 h 1329303"/>
            <a:gd name="connsiteX436" fmla="*/ 786933 w 1102485"/>
            <a:gd name="connsiteY436" fmla="*/ 101442 h 1329303"/>
            <a:gd name="connsiteX437" fmla="*/ 771350 w 1102485"/>
            <a:gd name="connsiteY437" fmla="*/ 117025 h 1329303"/>
            <a:gd name="connsiteX438" fmla="*/ 755767 w 1102485"/>
            <a:gd name="connsiteY438" fmla="*/ 140399 h 1329303"/>
            <a:gd name="connsiteX439" fmla="*/ 747976 w 1102485"/>
            <a:gd name="connsiteY439" fmla="*/ 152086 h 1329303"/>
            <a:gd name="connsiteX440" fmla="*/ 740184 w 1102485"/>
            <a:gd name="connsiteY440" fmla="*/ 159877 h 1329303"/>
            <a:gd name="connsiteX441" fmla="*/ 751871 w 1102485"/>
            <a:gd name="connsiteY441" fmla="*/ 183252 h 1329303"/>
            <a:gd name="connsiteX442" fmla="*/ 767454 w 1102485"/>
            <a:gd name="connsiteY442" fmla="*/ 249479 h 1329303"/>
            <a:gd name="connsiteX443" fmla="*/ 783037 w 1102485"/>
            <a:gd name="connsiteY443" fmla="*/ 296227 h 1329303"/>
            <a:gd name="connsiteX444" fmla="*/ 802516 w 1102485"/>
            <a:gd name="connsiteY444" fmla="*/ 366350 h 1329303"/>
            <a:gd name="connsiteX445" fmla="*/ 825890 w 1102485"/>
            <a:gd name="connsiteY445" fmla="*/ 455951 h 1329303"/>
            <a:gd name="connsiteX446" fmla="*/ 845368 w 1102485"/>
            <a:gd name="connsiteY446" fmla="*/ 498804 h 1329303"/>
            <a:gd name="connsiteX447" fmla="*/ 857055 w 1102485"/>
            <a:gd name="connsiteY447" fmla="*/ 533865 h 1329303"/>
            <a:gd name="connsiteX448" fmla="*/ 911595 w 1102485"/>
            <a:gd name="connsiteY448" fmla="*/ 646841 h 1329303"/>
            <a:gd name="connsiteX449" fmla="*/ 938865 w 1102485"/>
            <a:gd name="connsiteY449" fmla="*/ 693589 h 1329303"/>
            <a:gd name="connsiteX450" fmla="*/ 942761 w 1102485"/>
            <a:gd name="connsiteY450" fmla="*/ 705276 h 1329303"/>
            <a:gd name="connsiteX451" fmla="*/ 962239 w 1102485"/>
            <a:gd name="connsiteY451" fmla="*/ 740338 h 1329303"/>
            <a:gd name="connsiteX452" fmla="*/ 958344 w 1102485"/>
            <a:gd name="connsiteY452" fmla="*/ 705276 h 1329303"/>
            <a:gd name="connsiteX453" fmla="*/ 954448 w 1102485"/>
            <a:gd name="connsiteY453" fmla="*/ 736442 h 1329303"/>
            <a:gd name="connsiteX454" fmla="*/ 946657 w 1102485"/>
            <a:gd name="connsiteY454" fmla="*/ 845522 h 1329303"/>
            <a:gd name="connsiteX455" fmla="*/ 942761 w 1102485"/>
            <a:gd name="connsiteY455" fmla="*/ 907853 h 1329303"/>
            <a:gd name="connsiteX456" fmla="*/ 927178 w 1102485"/>
            <a:gd name="connsiteY456" fmla="*/ 1005246 h 1329303"/>
            <a:gd name="connsiteX457" fmla="*/ 919387 w 1102485"/>
            <a:gd name="connsiteY457" fmla="*/ 1071473 h 1329303"/>
            <a:gd name="connsiteX458" fmla="*/ 915491 w 1102485"/>
            <a:gd name="connsiteY458" fmla="*/ 1083160 h 1329303"/>
            <a:gd name="connsiteX459" fmla="*/ 919387 w 1102485"/>
            <a:gd name="connsiteY459" fmla="*/ 1137700 h 1329303"/>
            <a:gd name="connsiteX460" fmla="*/ 923282 w 1102485"/>
            <a:gd name="connsiteY460" fmla="*/ 1168865 h 1329303"/>
            <a:gd name="connsiteX461" fmla="*/ 915491 w 1102485"/>
            <a:gd name="connsiteY461" fmla="*/ 1094847 h 1329303"/>
            <a:gd name="connsiteX462" fmla="*/ 934969 w 1102485"/>
            <a:gd name="connsiteY462" fmla="*/ 580614 h 1329303"/>
            <a:gd name="connsiteX463" fmla="*/ 966135 w 1102485"/>
            <a:gd name="connsiteY463" fmla="*/ 467638 h 1329303"/>
            <a:gd name="connsiteX464" fmla="*/ 1020675 w 1102485"/>
            <a:gd name="connsiteY464" fmla="*/ 311810 h 1329303"/>
            <a:gd name="connsiteX465" fmla="*/ 1032362 w 1102485"/>
            <a:gd name="connsiteY465" fmla="*/ 272853 h 1329303"/>
            <a:gd name="connsiteX466" fmla="*/ 1036258 w 1102485"/>
            <a:gd name="connsiteY466" fmla="*/ 245583 h 1329303"/>
            <a:gd name="connsiteX467" fmla="*/ 1032362 w 1102485"/>
            <a:gd name="connsiteY467" fmla="*/ 226104 h 1329303"/>
            <a:gd name="connsiteX468" fmla="*/ 1028466 w 1102485"/>
            <a:gd name="connsiteY468" fmla="*/ 210522 h 1329303"/>
            <a:gd name="connsiteX469" fmla="*/ 1024571 w 1102485"/>
            <a:gd name="connsiteY469" fmla="*/ 191043 h 1329303"/>
            <a:gd name="connsiteX470" fmla="*/ 1020675 w 1102485"/>
            <a:gd name="connsiteY470" fmla="*/ 175460 h 1329303"/>
            <a:gd name="connsiteX471" fmla="*/ 1001196 w 1102485"/>
            <a:gd name="connsiteY471" fmla="*/ 113129 h 1329303"/>
            <a:gd name="connsiteX472" fmla="*/ 977822 w 1102485"/>
            <a:gd name="connsiteY472" fmla="*/ 101442 h 1329303"/>
            <a:gd name="connsiteX473" fmla="*/ 942761 w 1102485"/>
            <a:gd name="connsiteY473" fmla="*/ 105338 h 1329303"/>
            <a:gd name="connsiteX474" fmla="*/ 915491 w 1102485"/>
            <a:gd name="connsiteY474" fmla="*/ 120920 h 1329303"/>
            <a:gd name="connsiteX475" fmla="*/ 899908 w 1102485"/>
            <a:gd name="connsiteY475" fmla="*/ 124816 h 1329303"/>
            <a:gd name="connsiteX476" fmla="*/ 884325 w 1102485"/>
            <a:gd name="connsiteY476" fmla="*/ 132607 h 1329303"/>
            <a:gd name="connsiteX477" fmla="*/ 841473 w 1102485"/>
            <a:gd name="connsiteY477" fmla="*/ 140399 h 1329303"/>
            <a:gd name="connsiteX478" fmla="*/ 845368 w 1102485"/>
            <a:gd name="connsiteY478" fmla="*/ 163773 h 1329303"/>
            <a:gd name="connsiteX479" fmla="*/ 849264 w 1102485"/>
            <a:gd name="connsiteY479" fmla="*/ 183252 h 1329303"/>
            <a:gd name="connsiteX480" fmla="*/ 853160 w 1102485"/>
            <a:gd name="connsiteY480" fmla="*/ 214417 h 1329303"/>
            <a:gd name="connsiteX481" fmla="*/ 868742 w 1102485"/>
            <a:gd name="connsiteY481" fmla="*/ 420890 h 1329303"/>
            <a:gd name="connsiteX482" fmla="*/ 958344 w 1102485"/>
            <a:gd name="connsiteY482" fmla="*/ 724755 h 1329303"/>
            <a:gd name="connsiteX483" fmla="*/ 1028466 w 1102485"/>
            <a:gd name="connsiteY483" fmla="*/ 919540 h 1329303"/>
            <a:gd name="connsiteX484" fmla="*/ 1059632 w 1102485"/>
            <a:gd name="connsiteY484" fmla="*/ 1028620 h 1329303"/>
            <a:gd name="connsiteX485" fmla="*/ 1071319 w 1102485"/>
            <a:gd name="connsiteY485" fmla="*/ 1059785 h 1329303"/>
            <a:gd name="connsiteX486" fmla="*/ 1075215 w 1102485"/>
            <a:gd name="connsiteY486" fmla="*/ 1087055 h 1329303"/>
            <a:gd name="connsiteX487" fmla="*/ 1079111 w 1102485"/>
            <a:gd name="connsiteY487" fmla="*/ 1098742 h 1329303"/>
            <a:gd name="connsiteX488" fmla="*/ 1083006 w 1102485"/>
            <a:gd name="connsiteY488" fmla="*/ 1129908 h 13293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  <a:cxn ang="0">
              <a:pos x="connsiteX330" y="connsiteY330"/>
            </a:cxn>
            <a:cxn ang="0">
              <a:pos x="connsiteX331" y="connsiteY331"/>
            </a:cxn>
            <a:cxn ang="0">
              <a:pos x="connsiteX332" y="connsiteY332"/>
            </a:cxn>
            <a:cxn ang="0">
              <a:pos x="connsiteX333" y="connsiteY333"/>
            </a:cxn>
            <a:cxn ang="0">
              <a:pos x="connsiteX334" y="connsiteY334"/>
            </a:cxn>
            <a:cxn ang="0">
              <a:pos x="connsiteX335" y="connsiteY335"/>
            </a:cxn>
            <a:cxn ang="0">
              <a:pos x="connsiteX336" y="connsiteY336"/>
            </a:cxn>
            <a:cxn ang="0">
              <a:pos x="connsiteX337" y="connsiteY337"/>
            </a:cxn>
            <a:cxn ang="0">
              <a:pos x="connsiteX338" y="connsiteY338"/>
            </a:cxn>
            <a:cxn ang="0">
              <a:pos x="connsiteX339" y="connsiteY339"/>
            </a:cxn>
            <a:cxn ang="0">
              <a:pos x="connsiteX340" y="connsiteY340"/>
            </a:cxn>
            <a:cxn ang="0">
              <a:pos x="connsiteX341" y="connsiteY341"/>
            </a:cxn>
            <a:cxn ang="0">
              <a:pos x="connsiteX342" y="connsiteY342"/>
            </a:cxn>
            <a:cxn ang="0">
              <a:pos x="connsiteX343" y="connsiteY343"/>
            </a:cxn>
            <a:cxn ang="0">
              <a:pos x="connsiteX344" y="connsiteY344"/>
            </a:cxn>
            <a:cxn ang="0">
              <a:pos x="connsiteX345" y="connsiteY345"/>
            </a:cxn>
            <a:cxn ang="0">
              <a:pos x="connsiteX346" y="connsiteY346"/>
            </a:cxn>
            <a:cxn ang="0">
              <a:pos x="connsiteX347" y="connsiteY347"/>
            </a:cxn>
            <a:cxn ang="0">
              <a:pos x="connsiteX348" y="connsiteY348"/>
            </a:cxn>
            <a:cxn ang="0">
              <a:pos x="connsiteX349" y="connsiteY349"/>
            </a:cxn>
            <a:cxn ang="0">
              <a:pos x="connsiteX350" y="connsiteY350"/>
            </a:cxn>
            <a:cxn ang="0">
              <a:pos x="connsiteX351" y="connsiteY351"/>
            </a:cxn>
            <a:cxn ang="0">
              <a:pos x="connsiteX352" y="connsiteY352"/>
            </a:cxn>
            <a:cxn ang="0">
              <a:pos x="connsiteX353" y="connsiteY353"/>
            </a:cxn>
            <a:cxn ang="0">
              <a:pos x="connsiteX354" y="connsiteY354"/>
            </a:cxn>
            <a:cxn ang="0">
              <a:pos x="connsiteX355" y="connsiteY355"/>
            </a:cxn>
            <a:cxn ang="0">
              <a:pos x="connsiteX356" y="connsiteY356"/>
            </a:cxn>
            <a:cxn ang="0">
              <a:pos x="connsiteX357" y="connsiteY357"/>
            </a:cxn>
            <a:cxn ang="0">
              <a:pos x="connsiteX358" y="connsiteY358"/>
            </a:cxn>
            <a:cxn ang="0">
              <a:pos x="connsiteX359" y="connsiteY359"/>
            </a:cxn>
            <a:cxn ang="0">
              <a:pos x="connsiteX360" y="connsiteY360"/>
            </a:cxn>
            <a:cxn ang="0">
              <a:pos x="connsiteX361" y="connsiteY361"/>
            </a:cxn>
            <a:cxn ang="0">
              <a:pos x="connsiteX362" y="connsiteY362"/>
            </a:cxn>
            <a:cxn ang="0">
              <a:pos x="connsiteX363" y="connsiteY363"/>
            </a:cxn>
            <a:cxn ang="0">
              <a:pos x="connsiteX364" y="connsiteY364"/>
            </a:cxn>
            <a:cxn ang="0">
              <a:pos x="connsiteX365" y="connsiteY365"/>
            </a:cxn>
            <a:cxn ang="0">
              <a:pos x="connsiteX366" y="connsiteY366"/>
            </a:cxn>
            <a:cxn ang="0">
              <a:pos x="connsiteX367" y="connsiteY367"/>
            </a:cxn>
            <a:cxn ang="0">
              <a:pos x="connsiteX368" y="connsiteY368"/>
            </a:cxn>
            <a:cxn ang="0">
              <a:pos x="connsiteX369" y="connsiteY369"/>
            </a:cxn>
            <a:cxn ang="0">
              <a:pos x="connsiteX370" y="connsiteY370"/>
            </a:cxn>
            <a:cxn ang="0">
              <a:pos x="connsiteX371" y="connsiteY371"/>
            </a:cxn>
            <a:cxn ang="0">
              <a:pos x="connsiteX372" y="connsiteY372"/>
            </a:cxn>
            <a:cxn ang="0">
              <a:pos x="connsiteX373" y="connsiteY373"/>
            </a:cxn>
            <a:cxn ang="0">
              <a:pos x="connsiteX374" y="connsiteY374"/>
            </a:cxn>
            <a:cxn ang="0">
              <a:pos x="connsiteX375" y="connsiteY375"/>
            </a:cxn>
            <a:cxn ang="0">
              <a:pos x="connsiteX376" y="connsiteY376"/>
            </a:cxn>
            <a:cxn ang="0">
              <a:pos x="connsiteX377" y="connsiteY377"/>
            </a:cxn>
            <a:cxn ang="0">
              <a:pos x="connsiteX378" y="connsiteY378"/>
            </a:cxn>
            <a:cxn ang="0">
              <a:pos x="connsiteX379" y="connsiteY379"/>
            </a:cxn>
            <a:cxn ang="0">
              <a:pos x="connsiteX380" y="connsiteY380"/>
            </a:cxn>
            <a:cxn ang="0">
              <a:pos x="connsiteX381" y="connsiteY381"/>
            </a:cxn>
            <a:cxn ang="0">
              <a:pos x="connsiteX382" y="connsiteY382"/>
            </a:cxn>
            <a:cxn ang="0">
              <a:pos x="connsiteX383" y="connsiteY383"/>
            </a:cxn>
            <a:cxn ang="0">
              <a:pos x="connsiteX384" y="connsiteY384"/>
            </a:cxn>
            <a:cxn ang="0">
              <a:pos x="connsiteX385" y="connsiteY385"/>
            </a:cxn>
            <a:cxn ang="0">
              <a:pos x="connsiteX386" y="connsiteY386"/>
            </a:cxn>
            <a:cxn ang="0">
              <a:pos x="connsiteX387" y="connsiteY387"/>
            </a:cxn>
            <a:cxn ang="0">
              <a:pos x="connsiteX388" y="connsiteY388"/>
            </a:cxn>
            <a:cxn ang="0">
              <a:pos x="connsiteX389" y="connsiteY389"/>
            </a:cxn>
            <a:cxn ang="0">
              <a:pos x="connsiteX390" y="connsiteY390"/>
            </a:cxn>
            <a:cxn ang="0">
              <a:pos x="connsiteX391" y="connsiteY391"/>
            </a:cxn>
            <a:cxn ang="0">
              <a:pos x="connsiteX392" y="connsiteY392"/>
            </a:cxn>
            <a:cxn ang="0">
              <a:pos x="connsiteX393" y="connsiteY393"/>
            </a:cxn>
            <a:cxn ang="0">
              <a:pos x="connsiteX394" y="connsiteY394"/>
            </a:cxn>
            <a:cxn ang="0">
              <a:pos x="connsiteX395" y="connsiteY395"/>
            </a:cxn>
            <a:cxn ang="0">
              <a:pos x="connsiteX396" y="connsiteY396"/>
            </a:cxn>
            <a:cxn ang="0">
              <a:pos x="connsiteX397" y="connsiteY397"/>
            </a:cxn>
            <a:cxn ang="0">
              <a:pos x="connsiteX398" y="connsiteY398"/>
            </a:cxn>
            <a:cxn ang="0">
              <a:pos x="connsiteX399" y="connsiteY399"/>
            </a:cxn>
            <a:cxn ang="0">
              <a:pos x="connsiteX400" y="connsiteY400"/>
            </a:cxn>
            <a:cxn ang="0">
              <a:pos x="connsiteX401" y="connsiteY401"/>
            </a:cxn>
            <a:cxn ang="0">
              <a:pos x="connsiteX402" y="connsiteY402"/>
            </a:cxn>
            <a:cxn ang="0">
              <a:pos x="connsiteX403" y="connsiteY403"/>
            </a:cxn>
            <a:cxn ang="0">
              <a:pos x="connsiteX404" y="connsiteY404"/>
            </a:cxn>
            <a:cxn ang="0">
              <a:pos x="connsiteX405" y="connsiteY405"/>
            </a:cxn>
            <a:cxn ang="0">
              <a:pos x="connsiteX406" y="connsiteY406"/>
            </a:cxn>
            <a:cxn ang="0">
              <a:pos x="connsiteX407" y="connsiteY407"/>
            </a:cxn>
            <a:cxn ang="0">
              <a:pos x="connsiteX408" y="connsiteY408"/>
            </a:cxn>
            <a:cxn ang="0">
              <a:pos x="connsiteX409" y="connsiteY409"/>
            </a:cxn>
            <a:cxn ang="0">
              <a:pos x="connsiteX410" y="connsiteY410"/>
            </a:cxn>
            <a:cxn ang="0">
              <a:pos x="connsiteX411" y="connsiteY411"/>
            </a:cxn>
            <a:cxn ang="0">
              <a:pos x="connsiteX412" y="connsiteY412"/>
            </a:cxn>
            <a:cxn ang="0">
              <a:pos x="connsiteX413" y="connsiteY413"/>
            </a:cxn>
            <a:cxn ang="0">
              <a:pos x="connsiteX414" y="connsiteY414"/>
            </a:cxn>
            <a:cxn ang="0">
              <a:pos x="connsiteX415" y="connsiteY415"/>
            </a:cxn>
            <a:cxn ang="0">
              <a:pos x="connsiteX416" y="connsiteY416"/>
            </a:cxn>
            <a:cxn ang="0">
              <a:pos x="connsiteX417" y="connsiteY417"/>
            </a:cxn>
            <a:cxn ang="0">
              <a:pos x="connsiteX418" y="connsiteY418"/>
            </a:cxn>
            <a:cxn ang="0">
              <a:pos x="connsiteX419" y="connsiteY419"/>
            </a:cxn>
            <a:cxn ang="0">
              <a:pos x="connsiteX420" y="connsiteY420"/>
            </a:cxn>
            <a:cxn ang="0">
              <a:pos x="connsiteX421" y="connsiteY421"/>
            </a:cxn>
            <a:cxn ang="0">
              <a:pos x="connsiteX422" y="connsiteY422"/>
            </a:cxn>
            <a:cxn ang="0">
              <a:pos x="connsiteX423" y="connsiteY423"/>
            </a:cxn>
            <a:cxn ang="0">
              <a:pos x="connsiteX424" y="connsiteY424"/>
            </a:cxn>
            <a:cxn ang="0">
              <a:pos x="connsiteX425" y="connsiteY425"/>
            </a:cxn>
            <a:cxn ang="0">
              <a:pos x="connsiteX426" y="connsiteY426"/>
            </a:cxn>
            <a:cxn ang="0">
              <a:pos x="connsiteX427" y="connsiteY427"/>
            </a:cxn>
            <a:cxn ang="0">
              <a:pos x="connsiteX428" y="connsiteY428"/>
            </a:cxn>
            <a:cxn ang="0">
              <a:pos x="connsiteX429" y="connsiteY429"/>
            </a:cxn>
            <a:cxn ang="0">
              <a:pos x="connsiteX430" y="connsiteY430"/>
            </a:cxn>
            <a:cxn ang="0">
              <a:pos x="connsiteX431" y="connsiteY431"/>
            </a:cxn>
            <a:cxn ang="0">
              <a:pos x="connsiteX432" y="connsiteY432"/>
            </a:cxn>
            <a:cxn ang="0">
              <a:pos x="connsiteX433" y="connsiteY433"/>
            </a:cxn>
            <a:cxn ang="0">
              <a:pos x="connsiteX434" y="connsiteY434"/>
            </a:cxn>
            <a:cxn ang="0">
              <a:pos x="connsiteX435" y="connsiteY435"/>
            </a:cxn>
            <a:cxn ang="0">
              <a:pos x="connsiteX436" y="connsiteY436"/>
            </a:cxn>
            <a:cxn ang="0">
              <a:pos x="connsiteX437" y="connsiteY437"/>
            </a:cxn>
            <a:cxn ang="0">
              <a:pos x="connsiteX438" y="connsiteY438"/>
            </a:cxn>
            <a:cxn ang="0">
              <a:pos x="connsiteX439" y="connsiteY439"/>
            </a:cxn>
            <a:cxn ang="0">
              <a:pos x="connsiteX440" y="connsiteY440"/>
            </a:cxn>
            <a:cxn ang="0">
              <a:pos x="connsiteX441" y="connsiteY441"/>
            </a:cxn>
            <a:cxn ang="0">
              <a:pos x="connsiteX442" y="connsiteY442"/>
            </a:cxn>
            <a:cxn ang="0">
              <a:pos x="connsiteX443" y="connsiteY443"/>
            </a:cxn>
            <a:cxn ang="0">
              <a:pos x="connsiteX444" y="connsiteY444"/>
            </a:cxn>
            <a:cxn ang="0">
              <a:pos x="connsiteX445" y="connsiteY445"/>
            </a:cxn>
            <a:cxn ang="0">
              <a:pos x="connsiteX446" y="connsiteY446"/>
            </a:cxn>
            <a:cxn ang="0">
              <a:pos x="connsiteX447" y="connsiteY447"/>
            </a:cxn>
            <a:cxn ang="0">
              <a:pos x="connsiteX448" y="connsiteY448"/>
            </a:cxn>
            <a:cxn ang="0">
              <a:pos x="connsiteX449" y="connsiteY449"/>
            </a:cxn>
            <a:cxn ang="0">
              <a:pos x="connsiteX450" y="connsiteY450"/>
            </a:cxn>
            <a:cxn ang="0">
              <a:pos x="connsiteX451" y="connsiteY451"/>
            </a:cxn>
            <a:cxn ang="0">
              <a:pos x="connsiteX452" y="connsiteY452"/>
            </a:cxn>
            <a:cxn ang="0">
              <a:pos x="connsiteX453" y="connsiteY453"/>
            </a:cxn>
            <a:cxn ang="0">
              <a:pos x="connsiteX454" y="connsiteY454"/>
            </a:cxn>
            <a:cxn ang="0">
              <a:pos x="connsiteX455" y="connsiteY455"/>
            </a:cxn>
            <a:cxn ang="0">
              <a:pos x="connsiteX456" y="connsiteY456"/>
            </a:cxn>
            <a:cxn ang="0">
              <a:pos x="connsiteX457" y="connsiteY457"/>
            </a:cxn>
            <a:cxn ang="0">
              <a:pos x="connsiteX458" y="connsiteY458"/>
            </a:cxn>
            <a:cxn ang="0">
              <a:pos x="connsiteX459" y="connsiteY459"/>
            </a:cxn>
            <a:cxn ang="0">
              <a:pos x="connsiteX460" y="connsiteY460"/>
            </a:cxn>
            <a:cxn ang="0">
              <a:pos x="connsiteX461" y="connsiteY461"/>
            </a:cxn>
            <a:cxn ang="0">
              <a:pos x="connsiteX462" y="connsiteY462"/>
            </a:cxn>
            <a:cxn ang="0">
              <a:pos x="connsiteX463" y="connsiteY463"/>
            </a:cxn>
            <a:cxn ang="0">
              <a:pos x="connsiteX464" y="connsiteY464"/>
            </a:cxn>
            <a:cxn ang="0">
              <a:pos x="connsiteX465" y="connsiteY465"/>
            </a:cxn>
            <a:cxn ang="0">
              <a:pos x="connsiteX466" y="connsiteY466"/>
            </a:cxn>
            <a:cxn ang="0">
              <a:pos x="connsiteX467" y="connsiteY467"/>
            </a:cxn>
            <a:cxn ang="0">
              <a:pos x="connsiteX468" y="connsiteY468"/>
            </a:cxn>
            <a:cxn ang="0">
              <a:pos x="connsiteX469" y="connsiteY469"/>
            </a:cxn>
            <a:cxn ang="0">
              <a:pos x="connsiteX470" y="connsiteY470"/>
            </a:cxn>
            <a:cxn ang="0">
              <a:pos x="connsiteX471" y="connsiteY471"/>
            </a:cxn>
            <a:cxn ang="0">
              <a:pos x="connsiteX472" y="connsiteY472"/>
            </a:cxn>
            <a:cxn ang="0">
              <a:pos x="connsiteX473" y="connsiteY473"/>
            </a:cxn>
            <a:cxn ang="0">
              <a:pos x="connsiteX474" y="connsiteY474"/>
            </a:cxn>
            <a:cxn ang="0">
              <a:pos x="connsiteX475" y="connsiteY475"/>
            </a:cxn>
            <a:cxn ang="0">
              <a:pos x="connsiteX476" y="connsiteY476"/>
            </a:cxn>
            <a:cxn ang="0">
              <a:pos x="connsiteX477" y="connsiteY477"/>
            </a:cxn>
            <a:cxn ang="0">
              <a:pos x="connsiteX478" y="connsiteY478"/>
            </a:cxn>
            <a:cxn ang="0">
              <a:pos x="connsiteX479" y="connsiteY479"/>
            </a:cxn>
            <a:cxn ang="0">
              <a:pos x="connsiteX480" y="connsiteY480"/>
            </a:cxn>
            <a:cxn ang="0">
              <a:pos x="connsiteX481" y="connsiteY481"/>
            </a:cxn>
            <a:cxn ang="0">
              <a:pos x="connsiteX482" y="connsiteY482"/>
            </a:cxn>
            <a:cxn ang="0">
              <a:pos x="connsiteX483" y="connsiteY483"/>
            </a:cxn>
            <a:cxn ang="0">
              <a:pos x="connsiteX484" y="connsiteY484"/>
            </a:cxn>
            <a:cxn ang="0">
              <a:pos x="connsiteX485" y="connsiteY485"/>
            </a:cxn>
            <a:cxn ang="0">
              <a:pos x="connsiteX486" y="connsiteY486"/>
            </a:cxn>
            <a:cxn ang="0">
              <a:pos x="connsiteX487" y="connsiteY487"/>
            </a:cxn>
            <a:cxn ang="0">
              <a:pos x="connsiteX488" y="connsiteY488"/>
            </a:cxn>
          </a:cxnLst>
          <a:rect l="l" t="t" r="r" b="b"/>
          <a:pathLst>
            <a:path w="1102485" h="1329303">
              <a:moveTo>
                <a:pt x="432423" y="85859"/>
              </a:moveTo>
              <a:cubicBezTo>
                <a:pt x="424632" y="92352"/>
                <a:pt x="417488" y="99712"/>
                <a:pt x="409049" y="105338"/>
              </a:cubicBezTo>
              <a:cubicBezTo>
                <a:pt x="368034" y="132682"/>
                <a:pt x="402218" y="100188"/>
                <a:pt x="366196" y="132607"/>
              </a:cubicBezTo>
              <a:cubicBezTo>
                <a:pt x="359371" y="138750"/>
                <a:pt x="353543" y="145943"/>
                <a:pt x="346718" y="152086"/>
              </a:cubicBezTo>
              <a:cubicBezTo>
                <a:pt x="340538" y="157649"/>
                <a:pt x="333119" y="161789"/>
                <a:pt x="327239" y="167669"/>
              </a:cubicBezTo>
              <a:cubicBezTo>
                <a:pt x="301446" y="193462"/>
                <a:pt x="329308" y="173737"/>
                <a:pt x="303865" y="194939"/>
              </a:cubicBezTo>
              <a:cubicBezTo>
                <a:pt x="300268" y="197936"/>
                <a:pt x="295733" y="199683"/>
                <a:pt x="292178" y="202730"/>
              </a:cubicBezTo>
              <a:cubicBezTo>
                <a:pt x="286601" y="207511"/>
                <a:pt x="281789" y="213119"/>
                <a:pt x="276595" y="218313"/>
              </a:cubicBezTo>
              <a:lnTo>
                <a:pt x="245430" y="249479"/>
              </a:lnTo>
              <a:cubicBezTo>
                <a:pt x="240236" y="254673"/>
                <a:pt x="233922" y="258949"/>
                <a:pt x="229847" y="265061"/>
              </a:cubicBezTo>
              <a:cubicBezTo>
                <a:pt x="182822" y="335600"/>
                <a:pt x="241109" y="247365"/>
                <a:pt x="202577" y="307914"/>
              </a:cubicBezTo>
              <a:cubicBezTo>
                <a:pt x="197550" y="315814"/>
                <a:pt x="192188" y="323497"/>
                <a:pt x="186994" y="331288"/>
              </a:cubicBezTo>
              <a:lnTo>
                <a:pt x="179203" y="342976"/>
              </a:lnTo>
              <a:cubicBezTo>
                <a:pt x="174009" y="350767"/>
                <a:pt x="167309" y="357743"/>
                <a:pt x="163620" y="366350"/>
              </a:cubicBezTo>
              <a:cubicBezTo>
                <a:pt x="159724" y="375440"/>
                <a:pt x="155606" y="384438"/>
                <a:pt x="151933" y="393620"/>
              </a:cubicBezTo>
              <a:cubicBezTo>
                <a:pt x="147813" y="403921"/>
                <a:pt x="144470" y="414526"/>
                <a:pt x="140246" y="424785"/>
              </a:cubicBezTo>
              <a:cubicBezTo>
                <a:pt x="130543" y="448350"/>
                <a:pt x="120144" y="466640"/>
                <a:pt x="112976" y="491012"/>
              </a:cubicBezTo>
              <a:cubicBezTo>
                <a:pt x="109598" y="502498"/>
                <a:pt x="107926" y="514420"/>
                <a:pt x="105184" y="526074"/>
              </a:cubicBezTo>
              <a:cubicBezTo>
                <a:pt x="91610" y="583761"/>
                <a:pt x="102375" y="529841"/>
                <a:pt x="89601" y="600092"/>
              </a:cubicBezTo>
              <a:cubicBezTo>
                <a:pt x="88303" y="614376"/>
                <a:pt x="85706" y="628602"/>
                <a:pt x="85706" y="642945"/>
              </a:cubicBezTo>
              <a:cubicBezTo>
                <a:pt x="85706" y="723467"/>
                <a:pt x="87125" y="803995"/>
                <a:pt x="89601" y="884479"/>
              </a:cubicBezTo>
              <a:cubicBezTo>
                <a:pt x="89727" y="888583"/>
                <a:pt x="92416" y="892204"/>
                <a:pt x="93497" y="896166"/>
              </a:cubicBezTo>
              <a:cubicBezTo>
                <a:pt x="115272" y="976000"/>
                <a:pt x="89681" y="894414"/>
                <a:pt x="109080" y="942914"/>
              </a:cubicBezTo>
              <a:cubicBezTo>
                <a:pt x="112130" y="950539"/>
                <a:pt x="113821" y="958663"/>
                <a:pt x="116871" y="966288"/>
              </a:cubicBezTo>
              <a:cubicBezTo>
                <a:pt x="119468" y="972781"/>
                <a:pt x="122606" y="979083"/>
                <a:pt x="124663" y="985767"/>
              </a:cubicBezTo>
              <a:cubicBezTo>
                <a:pt x="127812" y="996002"/>
                <a:pt x="129067" y="1006774"/>
                <a:pt x="132454" y="1016933"/>
              </a:cubicBezTo>
              <a:cubicBezTo>
                <a:pt x="133753" y="1020829"/>
                <a:pt x="135270" y="1024658"/>
                <a:pt x="136350" y="1028620"/>
              </a:cubicBezTo>
              <a:cubicBezTo>
                <a:pt x="139167" y="1038951"/>
                <a:pt x="142041" y="1049285"/>
                <a:pt x="144141" y="1059785"/>
              </a:cubicBezTo>
              <a:cubicBezTo>
                <a:pt x="145440" y="1066278"/>
                <a:pt x="146295" y="1072876"/>
                <a:pt x="148037" y="1079264"/>
              </a:cubicBezTo>
              <a:cubicBezTo>
                <a:pt x="150198" y="1087187"/>
                <a:pt x="151272" y="1095805"/>
                <a:pt x="155828" y="1102638"/>
              </a:cubicBezTo>
              <a:cubicBezTo>
                <a:pt x="161022" y="1110429"/>
                <a:pt x="168450" y="1117128"/>
                <a:pt x="171411" y="1126012"/>
              </a:cubicBezTo>
              <a:cubicBezTo>
                <a:pt x="177049" y="1142927"/>
                <a:pt x="172403" y="1134796"/>
                <a:pt x="186994" y="1149387"/>
              </a:cubicBezTo>
              <a:cubicBezTo>
                <a:pt x="188293" y="1153283"/>
                <a:pt x="189191" y="1157336"/>
                <a:pt x="190890" y="1161074"/>
              </a:cubicBezTo>
              <a:cubicBezTo>
                <a:pt x="201230" y="1183822"/>
                <a:pt x="204058" y="1190899"/>
                <a:pt x="218160" y="1207822"/>
              </a:cubicBezTo>
              <a:cubicBezTo>
                <a:pt x="220511" y="1210644"/>
                <a:pt x="223083" y="1213319"/>
                <a:pt x="225951" y="1215614"/>
              </a:cubicBezTo>
              <a:cubicBezTo>
                <a:pt x="229607" y="1218539"/>
                <a:pt x="233742" y="1220808"/>
                <a:pt x="237638" y="1223405"/>
              </a:cubicBezTo>
              <a:cubicBezTo>
                <a:pt x="233742" y="1215614"/>
                <a:pt x="231074" y="1207076"/>
                <a:pt x="225951" y="1200031"/>
              </a:cubicBezTo>
              <a:cubicBezTo>
                <a:pt x="200897" y="1165581"/>
                <a:pt x="212722" y="1194138"/>
                <a:pt x="198681" y="1168865"/>
              </a:cubicBezTo>
              <a:cubicBezTo>
                <a:pt x="186707" y="1147313"/>
                <a:pt x="164828" y="1095920"/>
                <a:pt x="159724" y="1083160"/>
              </a:cubicBezTo>
              <a:cubicBezTo>
                <a:pt x="154530" y="1070174"/>
                <a:pt x="150096" y="1056858"/>
                <a:pt x="144141" y="1044203"/>
              </a:cubicBezTo>
              <a:cubicBezTo>
                <a:pt x="139683" y="1034730"/>
                <a:pt x="133240" y="1026297"/>
                <a:pt x="128558" y="1016933"/>
              </a:cubicBezTo>
              <a:cubicBezTo>
                <a:pt x="111871" y="983559"/>
                <a:pt x="109872" y="972559"/>
                <a:pt x="97393" y="935123"/>
              </a:cubicBezTo>
              <a:cubicBezTo>
                <a:pt x="89427" y="831576"/>
                <a:pt x="90928" y="872693"/>
                <a:pt x="97393" y="701381"/>
              </a:cubicBezTo>
              <a:cubicBezTo>
                <a:pt x="97691" y="693487"/>
                <a:pt x="99634" y="685730"/>
                <a:pt x="101289" y="678006"/>
              </a:cubicBezTo>
              <a:cubicBezTo>
                <a:pt x="103533" y="667536"/>
                <a:pt x="105694" y="657000"/>
                <a:pt x="109080" y="646841"/>
              </a:cubicBezTo>
              <a:cubicBezTo>
                <a:pt x="116097" y="625790"/>
                <a:pt x="127640" y="606171"/>
                <a:pt x="132454" y="584509"/>
              </a:cubicBezTo>
              <a:cubicBezTo>
                <a:pt x="133981" y="577636"/>
                <a:pt x="145024" y="526500"/>
                <a:pt x="148037" y="518282"/>
              </a:cubicBezTo>
              <a:cubicBezTo>
                <a:pt x="158663" y="489302"/>
                <a:pt x="168722" y="459891"/>
                <a:pt x="183098" y="432577"/>
              </a:cubicBezTo>
              <a:cubicBezTo>
                <a:pt x="196084" y="407904"/>
                <a:pt x="205157" y="380736"/>
                <a:pt x="222055" y="358558"/>
              </a:cubicBezTo>
              <a:cubicBezTo>
                <a:pt x="247870" y="324676"/>
                <a:pt x="272700" y="289993"/>
                <a:pt x="299969" y="257270"/>
              </a:cubicBezTo>
              <a:cubicBezTo>
                <a:pt x="317691" y="236003"/>
                <a:pt x="324526" y="226056"/>
                <a:pt x="346718" y="210522"/>
              </a:cubicBezTo>
              <a:cubicBezTo>
                <a:pt x="351476" y="207192"/>
                <a:pt x="356909" y="204887"/>
                <a:pt x="362301" y="202730"/>
              </a:cubicBezTo>
              <a:cubicBezTo>
                <a:pt x="369926" y="199680"/>
                <a:pt x="385675" y="194939"/>
                <a:pt x="385675" y="194939"/>
              </a:cubicBezTo>
              <a:cubicBezTo>
                <a:pt x="414568" y="175675"/>
                <a:pt x="382951" y="197858"/>
                <a:pt x="405154" y="179356"/>
              </a:cubicBezTo>
              <a:cubicBezTo>
                <a:pt x="410142" y="175200"/>
                <a:pt x="415932" y="172036"/>
                <a:pt x="420736" y="167669"/>
              </a:cubicBezTo>
              <a:cubicBezTo>
                <a:pt x="430248" y="159022"/>
                <a:pt x="437722" y="148112"/>
                <a:pt x="448006" y="140399"/>
              </a:cubicBezTo>
              <a:cubicBezTo>
                <a:pt x="451529" y="137756"/>
                <a:pt x="469584" y="123766"/>
                <a:pt x="475276" y="120920"/>
              </a:cubicBezTo>
              <a:cubicBezTo>
                <a:pt x="478949" y="119084"/>
                <a:pt x="490636" y="115188"/>
                <a:pt x="486963" y="117025"/>
              </a:cubicBezTo>
              <a:cubicBezTo>
                <a:pt x="480709" y="120153"/>
                <a:pt x="473740" y="121689"/>
                <a:pt x="467485" y="124816"/>
              </a:cubicBezTo>
              <a:cubicBezTo>
                <a:pt x="450730" y="133193"/>
                <a:pt x="457470" y="134770"/>
                <a:pt x="440215" y="148190"/>
              </a:cubicBezTo>
              <a:cubicBezTo>
                <a:pt x="379644" y="195300"/>
                <a:pt x="484850" y="95762"/>
                <a:pt x="385675" y="194939"/>
              </a:cubicBezTo>
              <a:lnTo>
                <a:pt x="350614" y="230000"/>
              </a:lnTo>
              <a:cubicBezTo>
                <a:pt x="331598" y="252819"/>
                <a:pt x="313766" y="272528"/>
                <a:pt x="299969" y="300123"/>
              </a:cubicBezTo>
              <a:cubicBezTo>
                <a:pt x="294775" y="310511"/>
                <a:pt x="289042" y="320647"/>
                <a:pt x="284387" y="331288"/>
              </a:cubicBezTo>
              <a:cubicBezTo>
                <a:pt x="279940" y="341453"/>
                <a:pt x="275989" y="351858"/>
                <a:pt x="272700" y="362454"/>
              </a:cubicBezTo>
              <a:cubicBezTo>
                <a:pt x="264294" y="389541"/>
                <a:pt x="254887" y="416453"/>
                <a:pt x="249325" y="444264"/>
              </a:cubicBezTo>
              <a:cubicBezTo>
                <a:pt x="242937" y="476203"/>
                <a:pt x="237418" y="500785"/>
                <a:pt x="233742" y="533865"/>
              </a:cubicBezTo>
              <a:cubicBezTo>
                <a:pt x="224481" y="617209"/>
                <a:pt x="228021" y="608406"/>
                <a:pt x="222055" y="678006"/>
              </a:cubicBezTo>
              <a:cubicBezTo>
                <a:pt x="219716" y="705299"/>
                <a:pt x="216689" y="732530"/>
                <a:pt x="214264" y="759816"/>
              </a:cubicBezTo>
              <a:cubicBezTo>
                <a:pt x="211495" y="790967"/>
                <a:pt x="208934" y="822136"/>
                <a:pt x="206473" y="853313"/>
              </a:cubicBezTo>
              <a:cubicBezTo>
                <a:pt x="205039" y="871483"/>
                <a:pt x="204091" y="889690"/>
                <a:pt x="202577" y="907853"/>
              </a:cubicBezTo>
              <a:cubicBezTo>
                <a:pt x="201493" y="920858"/>
                <a:pt x="199980" y="933824"/>
                <a:pt x="198681" y="946810"/>
              </a:cubicBezTo>
              <a:cubicBezTo>
                <a:pt x="199980" y="989663"/>
                <a:pt x="199593" y="1032600"/>
                <a:pt x="202577" y="1075368"/>
              </a:cubicBezTo>
              <a:cubicBezTo>
                <a:pt x="203499" y="1088579"/>
                <a:pt x="206846" y="1101559"/>
                <a:pt x="210368" y="1114325"/>
              </a:cubicBezTo>
              <a:cubicBezTo>
                <a:pt x="231436" y="1190700"/>
                <a:pt x="231378" y="1181529"/>
                <a:pt x="261012" y="1250675"/>
              </a:cubicBezTo>
              <a:cubicBezTo>
                <a:pt x="266646" y="1263820"/>
                <a:pt x="267534" y="1271486"/>
                <a:pt x="276595" y="1281841"/>
              </a:cubicBezTo>
              <a:cubicBezTo>
                <a:pt x="282642" y="1288751"/>
                <a:pt x="287070" y="1299518"/>
                <a:pt x="296074" y="1301319"/>
              </a:cubicBezTo>
              <a:lnTo>
                <a:pt x="315552" y="1305215"/>
              </a:lnTo>
              <a:cubicBezTo>
                <a:pt x="297834" y="1278637"/>
                <a:pt x="318987" y="1307121"/>
                <a:pt x="296074" y="1285736"/>
              </a:cubicBezTo>
              <a:cubicBezTo>
                <a:pt x="275484" y="1266519"/>
                <a:pt x="234478" y="1226548"/>
                <a:pt x="218160" y="1200031"/>
              </a:cubicBezTo>
              <a:cubicBezTo>
                <a:pt x="193201" y="1159472"/>
                <a:pt x="173083" y="1102923"/>
                <a:pt x="155828" y="1059785"/>
              </a:cubicBezTo>
              <a:cubicBezTo>
                <a:pt x="139642" y="978855"/>
                <a:pt x="131075" y="943567"/>
                <a:pt x="120767" y="861104"/>
              </a:cubicBezTo>
              <a:cubicBezTo>
                <a:pt x="112873" y="797954"/>
                <a:pt x="112086" y="756711"/>
                <a:pt x="109080" y="693589"/>
              </a:cubicBezTo>
              <a:cubicBezTo>
                <a:pt x="111677" y="649438"/>
                <a:pt x="112192" y="605114"/>
                <a:pt x="116871" y="561135"/>
              </a:cubicBezTo>
              <a:cubicBezTo>
                <a:pt x="120760" y="524575"/>
                <a:pt x="133191" y="496731"/>
                <a:pt x="148037" y="463742"/>
              </a:cubicBezTo>
              <a:cubicBezTo>
                <a:pt x="152803" y="453150"/>
                <a:pt x="159045" y="443252"/>
                <a:pt x="163620" y="432577"/>
              </a:cubicBezTo>
              <a:cubicBezTo>
                <a:pt x="166855" y="425028"/>
                <a:pt x="168996" y="417053"/>
                <a:pt x="171411" y="409203"/>
              </a:cubicBezTo>
              <a:cubicBezTo>
                <a:pt x="177597" y="389098"/>
                <a:pt x="181346" y="369856"/>
                <a:pt x="190890" y="350767"/>
              </a:cubicBezTo>
              <a:cubicBezTo>
                <a:pt x="193171" y="346205"/>
                <a:pt x="242029" y="253849"/>
                <a:pt x="261012" y="222209"/>
              </a:cubicBezTo>
              <a:cubicBezTo>
                <a:pt x="278234" y="193506"/>
                <a:pt x="278967" y="191296"/>
                <a:pt x="299969" y="167669"/>
              </a:cubicBezTo>
              <a:cubicBezTo>
                <a:pt x="304882" y="162142"/>
                <a:pt x="315644" y="150990"/>
                <a:pt x="323344" y="148190"/>
              </a:cubicBezTo>
              <a:cubicBezTo>
                <a:pt x="333407" y="144531"/>
                <a:pt x="344009" y="142499"/>
                <a:pt x="354509" y="140399"/>
              </a:cubicBezTo>
              <a:cubicBezTo>
                <a:pt x="384254" y="134450"/>
                <a:pt x="367418" y="137324"/>
                <a:pt x="405154" y="132607"/>
              </a:cubicBezTo>
              <a:cubicBezTo>
                <a:pt x="410348" y="130010"/>
                <a:pt x="415398" y="127104"/>
                <a:pt x="420736" y="124816"/>
              </a:cubicBezTo>
              <a:cubicBezTo>
                <a:pt x="424510" y="123198"/>
                <a:pt x="434536" y="117399"/>
                <a:pt x="432423" y="120920"/>
              </a:cubicBezTo>
              <a:cubicBezTo>
                <a:pt x="413096" y="153133"/>
                <a:pt x="415091" y="135834"/>
                <a:pt x="397362" y="152086"/>
              </a:cubicBezTo>
              <a:cubicBezTo>
                <a:pt x="385178" y="163254"/>
                <a:pt x="373988" y="175460"/>
                <a:pt x="362301" y="187147"/>
              </a:cubicBezTo>
              <a:cubicBezTo>
                <a:pt x="313344" y="236104"/>
                <a:pt x="300388" y="245901"/>
                <a:pt x="253221" y="319601"/>
              </a:cubicBezTo>
              <a:cubicBezTo>
                <a:pt x="232444" y="352065"/>
                <a:pt x="208127" y="382519"/>
                <a:pt x="190890" y="416994"/>
              </a:cubicBezTo>
              <a:cubicBezTo>
                <a:pt x="172083" y="454608"/>
                <a:pt x="167040" y="462925"/>
                <a:pt x="151933" y="498804"/>
              </a:cubicBezTo>
              <a:cubicBezTo>
                <a:pt x="146506" y="511694"/>
                <a:pt x="140773" y="524493"/>
                <a:pt x="136350" y="537761"/>
              </a:cubicBezTo>
              <a:cubicBezTo>
                <a:pt x="125179" y="571273"/>
                <a:pt x="114478" y="604969"/>
                <a:pt x="105184" y="639049"/>
              </a:cubicBezTo>
              <a:cubicBezTo>
                <a:pt x="101288" y="653333"/>
                <a:pt x="96709" y="667449"/>
                <a:pt x="93497" y="681902"/>
              </a:cubicBezTo>
              <a:cubicBezTo>
                <a:pt x="91505" y="690866"/>
                <a:pt x="90997" y="700096"/>
                <a:pt x="89601" y="709172"/>
              </a:cubicBezTo>
              <a:cubicBezTo>
                <a:pt x="88400" y="716979"/>
                <a:pt x="87004" y="724755"/>
                <a:pt x="85706" y="732546"/>
              </a:cubicBezTo>
              <a:cubicBezTo>
                <a:pt x="84407" y="749427"/>
                <a:pt x="83583" y="766352"/>
                <a:pt x="81810" y="783190"/>
              </a:cubicBezTo>
              <a:cubicBezTo>
                <a:pt x="80983" y="791046"/>
                <a:pt x="77706" y="798669"/>
                <a:pt x="77914" y="806565"/>
              </a:cubicBezTo>
              <a:cubicBezTo>
                <a:pt x="79009" y="848186"/>
                <a:pt x="81231" y="889833"/>
                <a:pt x="85706" y="931227"/>
              </a:cubicBezTo>
              <a:cubicBezTo>
                <a:pt x="86458" y="938180"/>
                <a:pt x="90370" y="944451"/>
                <a:pt x="93497" y="950706"/>
              </a:cubicBezTo>
              <a:cubicBezTo>
                <a:pt x="103660" y="971033"/>
                <a:pt x="118411" y="987373"/>
                <a:pt x="132454" y="1005246"/>
              </a:cubicBezTo>
              <a:cubicBezTo>
                <a:pt x="137591" y="1011784"/>
                <a:pt x="143425" y="1017806"/>
                <a:pt x="148037" y="1024724"/>
              </a:cubicBezTo>
              <a:cubicBezTo>
                <a:pt x="150634" y="1028620"/>
                <a:pt x="152517" y="1033100"/>
                <a:pt x="155828" y="1036411"/>
              </a:cubicBezTo>
              <a:cubicBezTo>
                <a:pt x="159139" y="1039722"/>
                <a:pt x="163451" y="1041880"/>
                <a:pt x="167516" y="1044203"/>
              </a:cubicBezTo>
              <a:cubicBezTo>
                <a:pt x="183798" y="1053507"/>
                <a:pt x="181078" y="1049241"/>
                <a:pt x="194785" y="1059785"/>
              </a:cubicBezTo>
              <a:cubicBezTo>
                <a:pt x="207966" y="1069924"/>
                <a:pt x="220210" y="1081285"/>
                <a:pt x="233742" y="1090951"/>
              </a:cubicBezTo>
              <a:cubicBezTo>
                <a:pt x="242832" y="1097444"/>
                <a:pt x="252244" y="1103508"/>
                <a:pt x="261012" y="1110430"/>
              </a:cubicBezTo>
              <a:cubicBezTo>
                <a:pt x="276933" y="1122999"/>
                <a:pt x="293417" y="1135044"/>
                <a:pt x="307761" y="1149387"/>
              </a:cubicBezTo>
              <a:cubicBezTo>
                <a:pt x="317816" y="1159441"/>
                <a:pt x="326413" y="1169506"/>
                <a:pt x="338927" y="1176657"/>
              </a:cubicBezTo>
              <a:cubicBezTo>
                <a:pt x="342492" y="1178694"/>
                <a:pt x="346718" y="1179254"/>
                <a:pt x="350614" y="1180552"/>
              </a:cubicBezTo>
              <a:lnTo>
                <a:pt x="288282" y="1067577"/>
              </a:lnTo>
              <a:cubicBezTo>
                <a:pt x="281815" y="1055875"/>
                <a:pt x="276034" y="1043761"/>
                <a:pt x="268804" y="1032515"/>
              </a:cubicBezTo>
              <a:lnTo>
                <a:pt x="233742" y="977976"/>
              </a:lnTo>
              <a:cubicBezTo>
                <a:pt x="231145" y="970184"/>
                <a:pt x="227943" y="962569"/>
                <a:pt x="225951" y="954601"/>
              </a:cubicBezTo>
              <a:cubicBezTo>
                <a:pt x="221767" y="937863"/>
                <a:pt x="220478" y="911931"/>
                <a:pt x="218160" y="896166"/>
              </a:cubicBezTo>
              <a:cubicBezTo>
                <a:pt x="213377" y="863639"/>
                <a:pt x="210551" y="830669"/>
                <a:pt x="202577" y="798773"/>
              </a:cubicBezTo>
              <a:cubicBezTo>
                <a:pt x="198681" y="783190"/>
                <a:pt x="194450" y="767688"/>
                <a:pt x="190890" y="752025"/>
              </a:cubicBezTo>
              <a:cubicBezTo>
                <a:pt x="185047" y="726317"/>
                <a:pt x="183188" y="713608"/>
                <a:pt x="179203" y="689693"/>
              </a:cubicBezTo>
              <a:cubicBezTo>
                <a:pt x="180501" y="620869"/>
                <a:pt x="180108" y="551992"/>
                <a:pt x="183098" y="483221"/>
              </a:cubicBezTo>
              <a:cubicBezTo>
                <a:pt x="184660" y="447303"/>
                <a:pt x="195032" y="397664"/>
                <a:pt x="202577" y="362454"/>
              </a:cubicBezTo>
              <a:cubicBezTo>
                <a:pt x="206207" y="345514"/>
                <a:pt x="209706" y="328525"/>
                <a:pt x="214264" y="311810"/>
              </a:cubicBezTo>
              <a:cubicBezTo>
                <a:pt x="217505" y="299925"/>
                <a:pt x="222277" y="288507"/>
                <a:pt x="225951" y="276749"/>
              </a:cubicBezTo>
              <a:cubicBezTo>
                <a:pt x="234397" y="249721"/>
                <a:pt x="230398" y="248186"/>
                <a:pt x="249325" y="226104"/>
              </a:cubicBezTo>
              <a:cubicBezTo>
                <a:pt x="258886" y="214949"/>
                <a:pt x="270102" y="205328"/>
                <a:pt x="280491" y="194939"/>
              </a:cubicBezTo>
              <a:cubicBezTo>
                <a:pt x="286984" y="188446"/>
                <a:pt x="292799" y="181196"/>
                <a:pt x="299969" y="175460"/>
              </a:cubicBezTo>
              <a:cubicBezTo>
                <a:pt x="306462" y="170266"/>
                <a:pt x="313233" y="165401"/>
                <a:pt x="319448" y="159877"/>
              </a:cubicBezTo>
              <a:cubicBezTo>
                <a:pt x="324938" y="154997"/>
                <a:pt x="329454" y="149075"/>
                <a:pt x="335031" y="144295"/>
              </a:cubicBezTo>
              <a:cubicBezTo>
                <a:pt x="338586" y="141248"/>
                <a:pt x="343219" y="139614"/>
                <a:pt x="346718" y="136503"/>
              </a:cubicBezTo>
              <a:cubicBezTo>
                <a:pt x="354953" y="129183"/>
                <a:pt x="362301" y="120920"/>
                <a:pt x="370092" y="113129"/>
              </a:cubicBezTo>
              <a:lnTo>
                <a:pt x="393466" y="89755"/>
              </a:lnTo>
              <a:lnTo>
                <a:pt x="436319" y="46902"/>
              </a:lnTo>
              <a:lnTo>
                <a:pt x="448006" y="35215"/>
              </a:lnTo>
              <a:lnTo>
                <a:pt x="455798" y="27423"/>
              </a:lnTo>
              <a:cubicBezTo>
                <a:pt x="454499" y="32617"/>
                <a:pt x="454872" y="38551"/>
                <a:pt x="451902" y="43006"/>
              </a:cubicBezTo>
              <a:cubicBezTo>
                <a:pt x="449305" y="46902"/>
                <a:pt x="443871" y="47873"/>
                <a:pt x="440215" y="50798"/>
              </a:cubicBezTo>
              <a:cubicBezTo>
                <a:pt x="437347" y="53092"/>
                <a:pt x="434718" y="55721"/>
                <a:pt x="432423" y="58589"/>
              </a:cubicBezTo>
              <a:cubicBezTo>
                <a:pt x="429498" y="62245"/>
                <a:pt x="427353" y="66466"/>
                <a:pt x="424632" y="70276"/>
              </a:cubicBezTo>
              <a:cubicBezTo>
                <a:pt x="420858" y="75560"/>
                <a:pt x="416386" y="80353"/>
                <a:pt x="412945" y="85859"/>
              </a:cubicBezTo>
              <a:cubicBezTo>
                <a:pt x="409867" y="90784"/>
                <a:pt x="408035" y="96400"/>
                <a:pt x="405154" y="101442"/>
              </a:cubicBezTo>
              <a:cubicBezTo>
                <a:pt x="402831" y="105507"/>
                <a:pt x="399685" y="109064"/>
                <a:pt x="397362" y="113129"/>
              </a:cubicBezTo>
              <a:cubicBezTo>
                <a:pt x="394481" y="118171"/>
                <a:pt x="392649" y="123787"/>
                <a:pt x="389571" y="128712"/>
              </a:cubicBezTo>
              <a:cubicBezTo>
                <a:pt x="386130" y="134218"/>
                <a:pt x="381037" y="138619"/>
                <a:pt x="377884" y="144295"/>
              </a:cubicBezTo>
              <a:cubicBezTo>
                <a:pt x="374488" y="150408"/>
                <a:pt x="373219" y="157518"/>
                <a:pt x="370092" y="163773"/>
              </a:cubicBezTo>
              <a:cubicBezTo>
                <a:pt x="366706" y="170546"/>
                <a:pt x="362470" y="176864"/>
                <a:pt x="358405" y="183252"/>
              </a:cubicBezTo>
              <a:cubicBezTo>
                <a:pt x="353378" y="191152"/>
                <a:pt x="346724" y="198113"/>
                <a:pt x="342822" y="206626"/>
              </a:cubicBezTo>
              <a:cubicBezTo>
                <a:pt x="332372" y="229425"/>
                <a:pt x="327732" y="254825"/>
                <a:pt x="315552" y="276749"/>
              </a:cubicBezTo>
              <a:cubicBezTo>
                <a:pt x="309059" y="288436"/>
                <a:pt x="301797" y="299728"/>
                <a:pt x="296074" y="311810"/>
              </a:cubicBezTo>
              <a:cubicBezTo>
                <a:pt x="284082" y="337127"/>
                <a:pt x="276148" y="362795"/>
                <a:pt x="268804" y="389724"/>
              </a:cubicBezTo>
              <a:cubicBezTo>
                <a:pt x="264578" y="405221"/>
                <a:pt x="261448" y="421005"/>
                <a:pt x="257117" y="436473"/>
              </a:cubicBezTo>
              <a:cubicBezTo>
                <a:pt x="240592" y="495489"/>
                <a:pt x="240273" y="477350"/>
                <a:pt x="233742" y="537761"/>
              </a:cubicBezTo>
              <a:cubicBezTo>
                <a:pt x="230381" y="568854"/>
                <a:pt x="228622" y="600099"/>
                <a:pt x="225951" y="631258"/>
              </a:cubicBezTo>
              <a:cubicBezTo>
                <a:pt x="224726" y="645549"/>
                <a:pt x="222055" y="674111"/>
                <a:pt x="222055" y="674111"/>
              </a:cubicBezTo>
              <a:cubicBezTo>
                <a:pt x="223354" y="765011"/>
                <a:pt x="222544" y="855965"/>
                <a:pt x="225951" y="946810"/>
              </a:cubicBezTo>
              <a:cubicBezTo>
                <a:pt x="226447" y="960044"/>
                <a:pt x="231869" y="972657"/>
                <a:pt x="233742" y="985767"/>
              </a:cubicBezTo>
              <a:cubicBezTo>
                <a:pt x="237068" y="1009049"/>
                <a:pt x="236432" y="1032932"/>
                <a:pt x="241534" y="1055890"/>
              </a:cubicBezTo>
              <a:cubicBezTo>
                <a:pt x="244131" y="1067577"/>
                <a:pt x="246036" y="1079440"/>
                <a:pt x="249325" y="1090951"/>
              </a:cubicBezTo>
              <a:cubicBezTo>
                <a:pt x="251246" y="1097675"/>
                <a:pt x="254662" y="1103882"/>
                <a:pt x="257117" y="1110430"/>
              </a:cubicBezTo>
              <a:cubicBezTo>
                <a:pt x="258559" y="1114275"/>
                <a:pt x="259884" y="1118169"/>
                <a:pt x="261012" y="1122117"/>
              </a:cubicBezTo>
              <a:cubicBezTo>
                <a:pt x="262483" y="1127265"/>
                <a:pt x="262513" y="1132911"/>
                <a:pt x="264908" y="1137700"/>
              </a:cubicBezTo>
              <a:cubicBezTo>
                <a:pt x="267812" y="1143507"/>
                <a:pt x="272994" y="1147880"/>
                <a:pt x="276595" y="1153282"/>
              </a:cubicBezTo>
              <a:cubicBezTo>
                <a:pt x="280795" y="1159582"/>
                <a:pt x="284217" y="1166373"/>
                <a:pt x="288282" y="1172761"/>
              </a:cubicBezTo>
              <a:cubicBezTo>
                <a:pt x="292746" y="1179777"/>
                <a:pt x="308453" y="1203732"/>
                <a:pt x="315552" y="1211718"/>
              </a:cubicBezTo>
              <a:cubicBezTo>
                <a:pt x="321652" y="1218581"/>
                <a:pt x="344035" y="1232996"/>
                <a:pt x="335031" y="1231196"/>
              </a:cubicBezTo>
              <a:lnTo>
                <a:pt x="315552" y="1227301"/>
              </a:lnTo>
              <a:cubicBezTo>
                <a:pt x="311656" y="1224704"/>
                <a:pt x="307930" y="1221832"/>
                <a:pt x="303865" y="1219509"/>
              </a:cubicBezTo>
              <a:cubicBezTo>
                <a:pt x="298823" y="1216628"/>
                <a:pt x="293040" y="1215048"/>
                <a:pt x="288282" y="1211718"/>
              </a:cubicBezTo>
              <a:cubicBezTo>
                <a:pt x="279973" y="1205902"/>
                <a:pt x="272384" y="1199092"/>
                <a:pt x="264908" y="1192239"/>
              </a:cubicBezTo>
              <a:cubicBezTo>
                <a:pt x="247251" y="1176053"/>
                <a:pt x="233295" y="1160223"/>
                <a:pt x="218160" y="1141595"/>
              </a:cubicBezTo>
              <a:cubicBezTo>
                <a:pt x="208824" y="1130104"/>
                <a:pt x="198683" y="1119123"/>
                <a:pt x="190890" y="1106534"/>
              </a:cubicBezTo>
              <a:cubicBezTo>
                <a:pt x="169466" y="1071926"/>
                <a:pt x="158113" y="1036918"/>
                <a:pt x="148037" y="997454"/>
              </a:cubicBezTo>
              <a:cubicBezTo>
                <a:pt x="137828" y="957468"/>
                <a:pt x="127551" y="917395"/>
                <a:pt x="120767" y="876687"/>
              </a:cubicBezTo>
              <a:cubicBezTo>
                <a:pt x="118170" y="861104"/>
                <a:pt x="115110" y="845592"/>
                <a:pt x="112976" y="829939"/>
              </a:cubicBezTo>
              <a:cubicBezTo>
                <a:pt x="111213" y="817008"/>
                <a:pt x="111115" y="803873"/>
                <a:pt x="109080" y="790982"/>
              </a:cubicBezTo>
              <a:cubicBezTo>
                <a:pt x="107213" y="779156"/>
                <a:pt x="103886" y="767607"/>
                <a:pt x="101289" y="755920"/>
              </a:cubicBezTo>
              <a:cubicBezTo>
                <a:pt x="95668" y="694096"/>
                <a:pt x="91380" y="656489"/>
                <a:pt x="93497" y="584509"/>
              </a:cubicBezTo>
              <a:cubicBezTo>
                <a:pt x="94838" y="538912"/>
                <a:pt x="98981" y="493353"/>
                <a:pt x="105184" y="448160"/>
              </a:cubicBezTo>
              <a:cubicBezTo>
                <a:pt x="108096" y="426942"/>
                <a:pt x="114683" y="406362"/>
                <a:pt x="120767" y="385828"/>
              </a:cubicBezTo>
              <a:cubicBezTo>
                <a:pt x="134362" y="339947"/>
                <a:pt x="174532" y="256874"/>
                <a:pt x="190890" y="230000"/>
              </a:cubicBezTo>
              <a:cubicBezTo>
                <a:pt x="209070" y="200133"/>
                <a:pt x="227579" y="170464"/>
                <a:pt x="245430" y="140399"/>
              </a:cubicBezTo>
              <a:cubicBezTo>
                <a:pt x="252256" y="128903"/>
                <a:pt x="258275" y="116946"/>
                <a:pt x="264908" y="105338"/>
              </a:cubicBezTo>
              <a:cubicBezTo>
                <a:pt x="268665" y="98764"/>
                <a:pt x="271240" y="91213"/>
                <a:pt x="276595" y="85859"/>
              </a:cubicBezTo>
              <a:cubicBezTo>
                <a:pt x="279192" y="83262"/>
                <a:pt x="282092" y="80936"/>
                <a:pt x="284387" y="78068"/>
              </a:cubicBezTo>
              <a:cubicBezTo>
                <a:pt x="287312" y="74412"/>
                <a:pt x="287990" y="68475"/>
                <a:pt x="292178" y="66381"/>
              </a:cubicBezTo>
              <a:cubicBezTo>
                <a:pt x="299243" y="62848"/>
                <a:pt x="307697" y="63312"/>
                <a:pt x="315552" y="62485"/>
              </a:cubicBezTo>
              <a:cubicBezTo>
                <a:pt x="332390" y="60712"/>
                <a:pt x="349315" y="59888"/>
                <a:pt x="366196" y="58589"/>
              </a:cubicBezTo>
              <a:cubicBezTo>
                <a:pt x="375286" y="59888"/>
                <a:pt x="386120" y="56976"/>
                <a:pt x="393466" y="62485"/>
              </a:cubicBezTo>
              <a:cubicBezTo>
                <a:pt x="397212" y="65294"/>
                <a:pt x="385278" y="67166"/>
                <a:pt x="381779" y="70276"/>
              </a:cubicBezTo>
              <a:cubicBezTo>
                <a:pt x="373544" y="77596"/>
                <a:pt x="367573" y="87538"/>
                <a:pt x="358405" y="93650"/>
              </a:cubicBezTo>
              <a:cubicBezTo>
                <a:pt x="350614" y="98844"/>
                <a:pt x="343406" y="105045"/>
                <a:pt x="335031" y="109233"/>
              </a:cubicBezTo>
              <a:cubicBezTo>
                <a:pt x="329837" y="111830"/>
                <a:pt x="324174" y="113649"/>
                <a:pt x="319448" y="117025"/>
              </a:cubicBezTo>
              <a:cubicBezTo>
                <a:pt x="314965" y="120227"/>
                <a:pt x="311944" y="125127"/>
                <a:pt x="307761" y="128712"/>
              </a:cubicBezTo>
              <a:cubicBezTo>
                <a:pt x="290098" y="143851"/>
                <a:pt x="280525" y="144243"/>
                <a:pt x="264908" y="167669"/>
              </a:cubicBezTo>
              <a:cubicBezTo>
                <a:pt x="224876" y="227716"/>
                <a:pt x="275706" y="153270"/>
                <a:pt x="229847" y="214417"/>
              </a:cubicBezTo>
              <a:cubicBezTo>
                <a:pt x="224228" y="221909"/>
                <a:pt x="219458" y="230000"/>
                <a:pt x="214264" y="237792"/>
              </a:cubicBezTo>
              <a:cubicBezTo>
                <a:pt x="211667" y="245583"/>
                <a:pt x="209280" y="253448"/>
                <a:pt x="206473" y="261166"/>
              </a:cubicBezTo>
              <a:cubicBezTo>
                <a:pt x="204083" y="267738"/>
                <a:pt x="200691" y="273946"/>
                <a:pt x="198681" y="280644"/>
              </a:cubicBezTo>
              <a:cubicBezTo>
                <a:pt x="196778" y="286986"/>
                <a:pt x="195969" y="293608"/>
                <a:pt x="194785" y="300123"/>
              </a:cubicBezTo>
              <a:cubicBezTo>
                <a:pt x="189181" y="330949"/>
                <a:pt x="192240" y="317544"/>
                <a:pt x="186994" y="350767"/>
              </a:cubicBezTo>
              <a:cubicBezTo>
                <a:pt x="184530" y="366371"/>
                <a:pt x="182186" y="382002"/>
                <a:pt x="179203" y="397515"/>
              </a:cubicBezTo>
              <a:cubicBezTo>
                <a:pt x="175692" y="415773"/>
                <a:pt x="170645" y="433727"/>
                <a:pt x="167516" y="452055"/>
              </a:cubicBezTo>
              <a:cubicBezTo>
                <a:pt x="161551" y="486993"/>
                <a:pt x="151933" y="557239"/>
                <a:pt x="151933" y="557239"/>
              </a:cubicBezTo>
              <a:cubicBezTo>
                <a:pt x="153231" y="631258"/>
                <a:pt x="152362" y="705346"/>
                <a:pt x="155828" y="779295"/>
              </a:cubicBezTo>
              <a:cubicBezTo>
                <a:pt x="156425" y="792039"/>
                <a:pt x="166852" y="813506"/>
                <a:pt x="171411" y="826043"/>
              </a:cubicBezTo>
              <a:cubicBezTo>
                <a:pt x="174218" y="833761"/>
                <a:pt x="176843" y="841551"/>
                <a:pt x="179203" y="849417"/>
              </a:cubicBezTo>
              <a:cubicBezTo>
                <a:pt x="180741" y="854545"/>
                <a:pt x="180704" y="860211"/>
                <a:pt x="183098" y="865000"/>
              </a:cubicBezTo>
              <a:cubicBezTo>
                <a:pt x="187286" y="873376"/>
                <a:pt x="195720" y="879491"/>
                <a:pt x="198681" y="888374"/>
              </a:cubicBezTo>
              <a:cubicBezTo>
                <a:pt x="199980" y="892270"/>
                <a:pt x="201449" y="896113"/>
                <a:pt x="202577" y="900061"/>
              </a:cubicBezTo>
              <a:cubicBezTo>
                <a:pt x="204048" y="905209"/>
                <a:pt x="204780" y="910565"/>
                <a:pt x="206473" y="915644"/>
              </a:cubicBezTo>
              <a:cubicBezTo>
                <a:pt x="208684" y="922278"/>
                <a:pt x="212053" y="928489"/>
                <a:pt x="214264" y="935123"/>
              </a:cubicBezTo>
              <a:cubicBezTo>
                <a:pt x="215957" y="940202"/>
                <a:pt x="216621" y="945578"/>
                <a:pt x="218160" y="950706"/>
              </a:cubicBezTo>
              <a:cubicBezTo>
                <a:pt x="220520" y="958572"/>
                <a:pt x="220144" y="968273"/>
                <a:pt x="225951" y="974080"/>
              </a:cubicBezTo>
              <a:cubicBezTo>
                <a:pt x="250716" y="998845"/>
                <a:pt x="224330" y="971357"/>
                <a:pt x="249325" y="1001350"/>
              </a:cubicBezTo>
              <a:cubicBezTo>
                <a:pt x="251676" y="1004172"/>
                <a:pt x="254822" y="1006273"/>
                <a:pt x="257117" y="1009141"/>
              </a:cubicBezTo>
              <a:cubicBezTo>
                <a:pt x="276780" y="1033719"/>
                <a:pt x="253882" y="1009802"/>
                <a:pt x="272700" y="1028620"/>
              </a:cubicBezTo>
              <a:cubicBezTo>
                <a:pt x="271401" y="1024724"/>
                <a:pt x="271369" y="1020140"/>
                <a:pt x="268804" y="1016933"/>
              </a:cubicBezTo>
              <a:cubicBezTo>
                <a:pt x="265879" y="1013277"/>
                <a:pt x="260773" y="1012066"/>
                <a:pt x="257117" y="1009141"/>
              </a:cubicBezTo>
              <a:cubicBezTo>
                <a:pt x="254249" y="1006847"/>
                <a:pt x="251922" y="1003947"/>
                <a:pt x="249325" y="1001350"/>
              </a:cubicBezTo>
              <a:cubicBezTo>
                <a:pt x="248027" y="997454"/>
                <a:pt x="247266" y="993336"/>
                <a:pt x="245430" y="989663"/>
              </a:cubicBezTo>
              <a:cubicBezTo>
                <a:pt x="243336" y="985475"/>
                <a:pt x="240359" y="981786"/>
                <a:pt x="237638" y="977976"/>
              </a:cubicBezTo>
              <a:cubicBezTo>
                <a:pt x="227372" y="963604"/>
                <a:pt x="215955" y="950024"/>
                <a:pt x="206473" y="935123"/>
              </a:cubicBezTo>
              <a:cubicBezTo>
                <a:pt x="197383" y="920839"/>
                <a:pt x="187230" y="907178"/>
                <a:pt x="179203" y="892270"/>
              </a:cubicBezTo>
              <a:cubicBezTo>
                <a:pt x="169012" y="873344"/>
                <a:pt x="159234" y="854051"/>
                <a:pt x="151933" y="833834"/>
              </a:cubicBezTo>
              <a:cubicBezTo>
                <a:pt x="132840" y="780962"/>
                <a:pt x="120918" y="716881"/>
                <a:pt x="109080" y="662423"/>
              </a:cubicBezTo>
              <a:cubicBezTo>
                <a:pt x="107781" y="633855"/>
                <a:pt x="107086" y="605252"/>
                <a:pt x="105184" y="576718"/>
              </a:cubicBezTo>
              <a:cubicBezTo>
                <a:pt x="103190" y="546805"/>
                <a:pt x="96946" y="517093"/>
                <a:pt x="97393" y="487117"/>
              </a:cubicBezTo>
              <a:cubicBezTo>
                <a:pt x="98248" y="429854"/>
                <a:pt x="102099" y="372549"/>
                <a:pt x="109080" y="315706"/>
              </a:cubicBezTo>
              <a:cubicBezTo>
                <a:pt x="111233" y="298175"/>
                <a:pt x="118722" y="281695"/>
                <a:pt x="124663" y="265061"/>
              </a:cubicBezTo>
              <a:cubicBezTo>
                <a:pt x="141740" y="217247"/>
                <a:pt x="166819" y="159154"/>
                <a:pt x="198681" y="120920"/>
              </a:cubicBezTo>
              <a:lnTo>
                <a:pt x="237638" y="74172"/>
              </a:lnTo>
              <a:cubicBezTo>
                <a:pt x="244131" y="66381"/>
                <a:pt x="250695" y="58648"/>
                <a:pt x="257117" y="50798"/>
              </a:cubicBezTo>
              <a:cubicBezTo>
                <a:pt x="262382" y="44363"/>
                <a:pt x="266820" y="37199"/>
                <a:pt x="272700" y="31319"/>
              </a:cubicBezTo>
              <a:lnTo>
                <a:pt x="284387" y="19632"/>
              </a:lnTo>
              <a:cubicBezTo>
                <a:pt x="284661" y="18809"/>
                <a:pt x="289656" y="-1986"/>
                <a:pt x="296074" y="154"/>
              </a:cubicBezTo>
              <a:cubicBezTo>
                <a:pt x="299970" y="1453"/>
                <a:pt x="298671" y="7945"/>
                <a:pt x="299969" y="11841"/>
              </a:cubicBezTo>
              <a:cubicBezTo>
                <a:pt x="298671" y="17035"/>
                <a:pt x="298772" y="22798"/>
                <a:pt x="296074" y="27423"/>
              </a:cubicBezTo>
              <a:cubicBezTo>
                <a:pt x="289531" y="38640"/>
                <a:pt x="280491" y="48200"/>
                <a:pt x="272700" y="58589"/>
              </a:cubicBezTo>
              <a:cubicBezTo>
                <a:pt x="268804" y="63783"/>
                <a:pt x="263916" y="68364"/>
                <a:pt x="261012" y="74172"/>
              </a:cubicBezTo>
              <a:cubicBezTo>
                <a:pt x="245007" y="106183"/>
                <a:pt x="261479" y="71401"/>
                <a:pt x="245430" y="113129"/>
              </a:cubicBezTo>
              <a:cubicBezTo>
                <a:pt x="235389" y="139237"/>
                <a:pt x="224653" y="165072"/>
                <a:pt x="214264" y="191043"/>
              </a:cubicBezTo>
              <a:lnTo>
                <a:pt x="190890" y="249479"/>
              </a:lnTo>
              <a:cubicBezTo>
                <a:pt x="188293" y="271555"/>
                <a:pt x="186530" y="293745"/>
                <a:pt x="183098" y="315706"/>
              </a:cubicBezTo>
              <a:cubicBezTo>
                <a:pt x="180031" y="335332"/>
                <a:pt x="175128" y="354628"/>
                <a:pt x="171411" y="374141"/>
              </a:cubicBezTo>
              <a:cubicBezTo>
                <a:pt x="169933" y="381900"/>
                <a:pt x="168388" y="389665"/>
                <a:pt x="167516" y="397515"/>
              </a:cubicBezTo>
              <a:cubicBezTo>
                <a:pt x="159747" y="467441"/>
                <a:pt x="168679" y="422085"/>
                <a:pt x="155828" y="494908"/>
              </a:cubicBezTo>
              <a:cubicBezTo>
                <a:pt x="136072" y="606861"/>
                <a:pt x="143823" y="540952"/>
                <a:pt x="136350" y="615675"/>
              </a:cubicBezTo>
              <a:cubicBezTo>
                <a:pt x="137649" y="646841"/>
                <a:pt x="138300" y="678040"/>
                <a:pt x="140246" y="709172"/>
              </a:cubicBezTo>
              <a:cubicBezTo>
                <a:pt x="140899" y="719621"/>
                <a:pt x="141947" y="730101"/>
                <a:pt x="144141" y="740338"/>
              </a:cubicBezTo>
              <a:cubicBezTo>
                <a:pt x="145862" y="748369"/>
                <a:pt x="151933" y="763712"/>
                <a:pt x="151933" y="763712"/>
              </a:cubicBezTo>
              <a:cubicBezTo>
                <a:pt x="91452" y="824185"/>
                <a:pt x="200961" y="719336"/>
                <a:pt x="140246" y="759816"/>
              </a:cubicBezTo>
              <a:cubicBezTo>
                <a:pt x="134427" y="763695"/>
                <a:pt x="135448" y="772975"/>
                <a:pt x="132454" y="779295"/>
              </a:cubicBezTo>
              <a:cubicBezTo>
                <a:pt x="91485" y="865785"/>
                <a:pt x="65582" y="909041"/>
                <a:pt x="35062" y="993558"/>
              </a:cubicBezTo>
              <a:cubicBezTo>
                <a:pt x="28640" y="1011342"/>
                <a:pt x="24814" y="1029959"/>
                <a:pt x="19479" y="1048098"/>
              </a:cubicBezTo>
              <a:cubicBezTo>
                <a:pt x="18320" y="1052038"/>
                <a:pt x="16882" y="1055889"/>
                <a:pt x="15583" y="1059785"/>
              </a:cubicBezTo>
              <a:cubicBezTo>
                <a:pt x="14284" y="1132505"/>
                <a:pt x="15380" y="1205307"/>
                <a:pt x="11687" y="1277945"/>
              </a:cubicBezTo>
              <a:cubicBezTo>
                <a:pt x="11449" y="1282621"/>
                <a:pt x="7206" y="1292943"/>
                <a:pt x="3896" y="1289632"/>
              </a:cubicBezTo>
              <a:cubicBezTo>
                <a:pt x="110" y="1285846"/>
                <a:pt x="6742" y="1279299"/>
                <a:pt x="7792" y="1274049"/>
              </a:cubicBezTo>
              <a:cubicBezTo>
                <a:pt x="13984" y="1243086"/>
                <a:pt x="14162" y="1210950"/>
                <a:pt x="23374" y="1180552"/>
              </a:cubicBezTo>
              <a:cubicBezTo>
                <a:pt x="32545" y="1150289"/>
                <a:pt x="41697" y="1119848"/>
                <a:pt x="54540" y="1090951"/>
              </a:cubicBezTo>
              <a:cubicBezTo>
                <a:pt x="69430" y="1057450"/>
                <a:pt x="74987" y="1043516"/>
                <a:pt x="93497" y="1009141"/>
              </a:cubicBezTo>
              <a:cubicBezTo>
                <a:pt x="112513" y="973826"/>
                <a:pt x="135336" y="940471"/>
                <a:pt x="151933" y="903957"/>
              </a:cubicBezTo>
              <a:cubicBezTo>
                <a:pt x="169599" y="865090"/>
                <a:pt x="170429" y="865835"/>
                <a:pt x="183098" y="829939"/>
              </a:cubicBezTo>
              <a:cubicBezTo>
                <a:pt x="187198" y="818322"/>
                <a:pt x="191797" y="806829"/>
                <a:pt x="194785" y="794877"/>
              </a:cubicBezTo>
              <a:cubicBezTo>
                <a:pt x="196084" y="789683"/>
                <a:pt x="203470" y="776900"/>
                <a:pt x="198681" y="779295"/>
              </a:cubicBezTo>
              <a:cubicBezTo>
                <a:pt x="189610" y="783831"/>
                <a:pt x="184829" y="794230"/>
                <a:pt x="179203" y="802669"/>
              </a:cubicBezTo>
              <a:cubicBezTo>
                <a:pt x="166866" y="821174"/>
                <a:pt x="126934" y="902787"/>
                <a:pt x="124663" y="907853"/>
              </a:cubicBezTo>
              <a:cubicBezTo>
                <a:pt x="83956" y="998661"/>
                <a:pt x="60935" y="1048422"/>
                <a:pt x="35062" y="1133804"/>
              </a:cubicBezTo>
              <a:cubicBezTo>
                <a:pt x="29216" y="1153097"/>
                <a:pt x="24368" y="1172682"/>
                <a:pt x="19479" y="1192239"/>
              </a:cubicBezTo>
              <a:cubicBezTo>
                <a:pt x="12680" y="1219434"/>
                <a:pt x="0" y="1274049"/>
                <a:pt x="0" y="1274049"/>
              </a:cubicBezTo>
              <a:cubicBezTo>
                <a:pt x="12958" y="1429532"/>
                <a:pt x="-5827" y="1225193"/>
                <a:pt x="11687" y="1051994"/>
              </a:cubicBezTo>
              <a:cubicBezTo>
                <a:pt x="14455" y="1024617"/>
                <a:pt x="28374" y="999479"/>
                <a:pt x="38957" y="974080"/>
              </a:cubicBezTo>
              <a:cubicBezTo>
                <a:pt x="45450" y="958497"/>
                <a:pt x="52573" y="943162"/>
                <a:pt x="58436" y="927331"/>
              </a:cubicBezTo>
              <a:cubicBezTo>
                <a:pt x="65567" y="908077"/>
                <a:pt x="77914" y="868896"/>
                <a:pt x="77914" y="868896"/>
              </a:cubicBezTo>
              <a:cubicBezTo>
                <a:pt x="78173" y="867085"/>
                <a:pt x="83307" y="827544"/>
                <a:pt x="85706" y="822147"/>
              </a:cubicBezTo>
              <a:cubicBezTo>
                <a:pt x="88343" y="816214"/>
                <a:pt x="93715" y="811915"/>
                <a:pt x="97393" y="806565"/>
              </a:cubicBezTo>
              <a:cubicBezTo>
                <a:pt x="108003" y="791132"/>
                <a:pt x="118169" y="775399"/>
                <a:pt x="128558" y="759816"/>
              </a:cubicBezTo>
              <a:cubicBezTo>
                <a:pt x="131155" y="755920"/>
                <a:pt x="134256" y="752317"/>
                <a:pt x="136350" y="748129"/>
              </a:cubicBezTo>
              <a:cubicBezTo>
                <a:pt x="138947" y="742935"/>
                <a:pt x="142102" y="737984"/>
                <a:pt x="144141" y="732546"/>
              </a:cubicBezTo>
              <a:cubicBezTo>
                <a:pt x="146021" y="727533"/>
                <a:pt x="146498" y="722091"/>
                <a:pt x="148037" y="716963"/>
              </a:cubicBezTo>
              <a:cubicBezTo>
                <a:pt x="150397" y="709097"/>
                <a:pt x="152880" y="701254"/>
                <a:pt x="155828" y="693589"/>
              </a:cubicBezTo>
              <a:cubicBezTo>
                <a:pt x="159378" y="684358"/>
                <a:pt x="163093" y="675165"/>
                <a:pt x="167516" y="666319"/>
              </a:cubicBezTo>
              <a:cubicBezTo>
                <a:pt x="177402" y="646548"/>
                <a:pt x="179490" y="650019"/>
                <a:pt x="186994" y="631258"/>
              </a:cubicBezTo>
              <a:cubicBezTo>
                <a:pt x="190044" y="623633"/>
                <a:pt x="194785" y="607884"/>
                <a:pt x="194785" y="607884"/>
              </a:cubicBezTo>
              <a:cubicBezTo>
                <a:pt x="185819" y="563042"/>
                <a:pt x="191442" y="607918"/>
                <a:pt x="194785" y="576718"/>
              </a:cubicBezTo>
              <a:cubicBezTo>
                <a:pt x="198255" y="544335"/>
                <a:pt x="198273" y="511607"/>
                <a:pt x="202577" y="479325"/>
              </a:cubicBezTo>
              <a:cubicBezTo>
                <a:pt x="211888" y="409492"/>
                <a:pt x="222414" y="391286"/>
                <a:pt x="241534" y="323497"/>
              </a:cubicBezTo>
              <a:cubicBezTo>
                <a:pt x="248460" y="298942"/>
                <a:pt x="254003" y="274010"/>
                <a:pt x="261012" y="249479"/>
              </a:cubicBezTo>
              <a:cubicBezTo>
                <a:pt x="264396" y="237633"/>
                <a:pt x="269077" y="226192"/>
                <a:pt x="272700" y="214417"/>
              </a:cubicBezTo>
              <a:cubicBezTo>
                <a:pt x="273101" y="213114"/>
                <a:pt x="278345" y="189906"/>
                <a:pt x="280491" y="187147"/>
              </a:cubicBezTo>
              <a:cubicBezTo>
                <a:pt x="287256" y="178449"/>
                <a:pt x="297753" y="172941"/>
                <a:pt x="303865" y="163773"/>
              </a:cubicBezTo>
              <a:cubicBezTo>
                <a:pt x="314713" y="147502"/>
                <a:pt x="308346" y="155397"/>
                <a:pt x="323344" y="140399"/>
              </a:cubicBezTo>
              <a:cubicBezTo>
                <a:pt x="325941" y="148190"/>
                <a:pt x="324302" y="159217"/>
                <a:pt x="331135" y="163773"/>
              </a:cubicBezTo>
              <a:cubicBezTo>
                <a:pt x="338926" y="168967"/>
                <a:pt x="346609" y="174329"/>
                <a:pt x="354509" y="179356"/>
              </a:cubicBezTo>
              <a:cubicBezTo>
                <a:pt x="360897" y="183421"/>
                <a:pt x="367688" y="186843"/>
                <a:pt x="373988" y="191043"/>
              </a:cubicBezTo>
              <a:cubicBezTo>
                <a:pt x="385994" y="199047"/>
                <a:pt x="428094" y="227650"/>
                <a:pt x="436319" y="230000"/>
              </a:cubicBezTo>
              <a:cubicBezTo>
                <a:pt x="497226" y="247402"/>
                <a:pt x="472319" y="241875"/>
                <a:pt x="510338" y="249479"/>
              </a:cubicBezTo>
              <a:cubicBezTo>
                <a:pt x="515532" y="252076"/>
                <a:pt x="520113" y="257270"/>
                <a:pt x="525920" y="257270"/>
              </a:cubicBezTo>
              <a:cubicBezTo>
                <a:pt x="530602" y="257270"/>
                <a:pt x="518868" y="250141"/>
                <a:pt x="514233" y="249479"/>
              </a:cubicBezTo>
              <a:cubicBezTo>
                <a:pt x="508933" y="248722"/>
                <a:pt x="503844" y="252076"/>
                <a:pt x="498650" y="253374"/>
              </a:cubicBezTo>
              <a:cubicBezTo>
                <a:pt x="502546" y="240388"/>
                <a:pt x="503910" y="226354"/>
                <a:pt x="510338" y="214417"/>
              </a:cubicBezTo>
              <a:cubicBezTo>
                <a:pt x="515297" y="205207"/>
                <a:pt x="537359" y="197954"/>
                <a:pt x="545399" y="194939"/>
              </a:cubicBezTo>
              <a:cubicBezTo>
                <a:pt x="560590" y="189243"/>
                <a:pt x="557539" y="191375"/>
                <a:pt x="576565" y="187147"/>
              </a:cubicBezTo>
              <a:cubicBezTo>
                <a:pt x="610298" y="179651"/>
                <a:pt x="572015" y="185489"/>
                <a:pt x="627209" y="179356"/>
              </a:cubicBezTo>
              <a:cubicBezTo>
                <a:pt x="644090" y="180655"/>
                <a:pt x="662709" y="175680"/>
                <a:pt x="677853" y="183252"/>
              </a:cubicBezTo>
              <a:cubicBezTo>
                <a:pt x="683660" y="186156"/>
                <a:pt x="670912" y="194404"/>
                <a:pt x="666166" y="198834"/>
              </a:cubicBezTo>
              <a:cubicBezTo>
                <a:pt x="651337" y="212675"/>
                <a:pt x="633761" y="223449"/>
                <a:pt x="619417" y="237792"/>
              </a:cubicBezTo>
              <a:cubicBezTo>
                <a:pt x="598723" y="258486"/>
                <a:pt x="590029" y="270167"/>
                <a:pt x="564877" y="284540"/>
              </a:cubicBezTo>
              <a:cubicBezTo>
                <a:pt x="544260" y="296321"/>
                <a:pt x="529341" y="298294"/>
                <a:pt x="506442" y="304019"/>
              </a:cubicBezTo>
              <a:cubicBezTo>
                <a:pt x="490859" y="301422"/>
                <a:pt x="474214" y="302450"/>
                <a:pt x="459693" y="296227"/>
              </a:cubicBezTo>
              <a:cubicBezTo>
                <a:pt x="454355" y="293939"/>
                <a:pt x="451902" y="286451"/>
                <a:pt x="451902" y="280644"/>
              </a:cubicBezTo>
              <a:cubicBezTo>
                <a:pt x="451902" y="250699"/>
                <a:pt x="476034" y="221451"/>
                <a:pt x="494755" y="202730"/>
              </a:cubicBezTo>
              <a:cubicBezTo>
                <a:pt x="514233" y="183252"/>
                <a:pt x="528552" y="156615"/>
                <a:pt x="553190" y="144295"/>
              </a:cubicBezTo>
              <a:cubicBezTo>
                <a:pt x="561636" y="140072"/>
                <a:pt x="570907" y="134517"/>
                <a:pt x="580460" y="132607"/>
              </a:cubicBezTo>
              <a:cubicBezTo>
                <a:pt x="595951" y="129509"/>
                <a:pt x="611718" y="127915"/>
                <a:pt x="627209" y="124816"/>
              </a:cubicBezTo>
              <a:cubicBezTo>
                <a:pt x="651937" y="119870"/>
                <a:pt x="640263" y="122526"/>
                <a:pt x="662270" y="117025"/>
              </a:cubicBezTo>
              <a:cubicBezTo>
                <a:pt x="664867" y="119622"/>
                <a:pt x="668772" y="121377"/>
                <a:pt x="670062" y="124816"/>
              </a:cubicBezTo>
              <a:cubicBezTo>
                <a:pt x="673514" y="134020"/>
                <a:pt x="676769" y="153712"/>
                <a:pt x="670062" y="163773"/>
              </a:cubicBezTo>
              <a:cubicBezTo>
                <a:pt x="667465" y="167669"/>
                <a:pt x="661929" y="168518"/>
                <a:pt x="658374" y="171565"/>
              </a:cubicBezTo>
              <a:cubicBezTo>
                <a:pt x="624751" y="200384"/>
                <a:pt x="651408" y="196890"/>
                <a:pt x="580460" y="226104"/>
              </a:cubicBezTo>
              <a:cubicBezTo>
                <a:pt x="519760" y="251098"/>
                <a:pt x="507666" y="257854"/>
                <a:pt x="444111" y="276749"/>
              </a:cubicBezTo>
              <a:cubicBezTo>
                <a:pt x="419656" y="284019"/>
                <a:pt x="395276" y="292143"/>
                <a:pt x="370092" y="296227"/>
              </a:cubicBezTo>
              <a:cubicBezTo>
                <a:pt x="346983" y="299974"/>
                <a:pt x="323343" y="298824"/>
                <a:pt x="299969" y="300123"/>
              </a:cubicBezTo>
              <a:cubicBezTo>
                <a:pt x="271401" y="297526"/>
                <a:pt x="242094" y="299288"/>
                <a:pt x="214264" y="292331"/>
              </a:cubicBezTo>
              <a:cubicBezTo>
                <a:pt x="208630" y="290923"/>
                <a:pt x="206473" y="282556"/>
                <a:pt x="206473" y="276749"/>
              </a:cubicBezTo>
              <a:cubicBezTo>
                <a:pt x="206473" y="269756"/>
                <a:pt x="210199" y="262961"/>
                <a:pt x="214264" y="257270"/>
              </a:cubicBezTo>
              <a:cubicBezTo>
                <a:pt x="220859" y="248037"/>
                <a:pt x="247615" y="243089"/>
                <a:pt x="253221" y="241687"/>
              </a:cubicBezTo>
              <a:cubicBezTo>
                <a:pt x="274891" y="236269"/>
                <a:pt x="314493" y="228210"/>
                <a:pt x="335031" y="226104"/>
              </a:cubicBezTo>
              <a:cubicBezTo>
                <a:pt x="370005" y="222517"/>
                <a:pt x="440215" y="218313"/>
                <a:pt x="440215" y="218313"/>
              </a:cubicBezTo>
              <a:cubicBezTo>
                <a:pt x="470082" y="219612"/>
                <a:pt x="500114" y="218814"/>
                <a:pt x="529816" y="222209"/>
              </a:cubicBezTo>
              <a:cubicBezTo>
                <a:pt x="561687" y="225851"/>
                <a:pt x="589500" y="239507"/>
                <a:pt x="619417" y="249479"/>
              </a:cubicBezTo>
              <a:cubicBezTo>
                <a:pt x="628386" y="252469"/>
                <a:pt x="637597" y="254673"/>
                <a:pt x="646687" y="257270"/>
              </a:cubicBezTo>
              <a:cubicBezTo>
                <a:pt x="649284" y="259867"/>
                <a:pt x="651611" y="262767"/>
                <a:pt x="654479" y="265061"/>
              </a:cubicBezTo>
              <a:cubicBezTo>
                <a:pt x="658135" y="267986"/>
                <a:pt x="664427" y="268506"/>
                <a:pt x="666166" y="272853"/>
              </a:cubicBezTo>
              <a:cubicBezTo>
                <a:pt x="667691" y="276666"/>
                <a:pt x="666346" y="284043"/>
                <a:pt x="662270" y="284540"/>
              </a:cubicBezTo>
              <a:cubicBezTo>
                <a:pt x="610645" y="290836"/>
                <a:pt x="558385" y="289734"/>
                <a:pt x="506442" y="292331"/>
              </a:cubicBezTo>
              <a:cubicBezTo>
                <a:pt x="460992" y="305317"/>
                <a:pt x="415286" y="317438"/>
                <a:pt x="370092" y="331288"/>
              </a:cubicBezTo>
              <a:cubicBezTo>
                <a:pt x="334756" y="342117"/>
                <a:pt x="300683" y="357075"/>
                <a:pt x="264908" y="366350"/>
              </a:cubicBezTo>
              <a:cubicBezTo>
                <a:pt x="222724" y="377286"/>
                <a:pt x="129568" y="390351"/>
                <a:pt x="81810" y="397515"/>
              </a:cubicBezTo>
              <a:cubicBezTo>
                <a:pt x="81789" y="397505"/>
                <a:pt x="50895" y="384112"/>
                <a:pt x="54540" y="378037"/>
              </a:cubicBezTo>
              <a:cubicBezTo>
                <a:pt x="58765" y="370995"/>
                <a:pt x="70289" y="373296"/>
                <a:pt x="77914" y="370246"/>
              </a:cubicBezTo>
              <a:cubicBezTo>
                <a:pt x="83306" y="368089"/>
                <a:pt x="88105" y="364611"/>
                <a:pt x="93497" y="362454"/>
              </a:cubicBezTo>
              <a:cubicBezTo>
                <a:pt x="101122" y="359404"/>
                <a:pt x="109137" y="357425"/>
                <a:pt x="116871" y="354663"/>
              </a:cubicBezTo>
              <a:cubicBezTo>
                <a:pt x="156544" y="340494"/>
                <a:pt x="146731" y="341095"/>
                <a:pt x="194785" y="331288"/>
              </a:cubicBezTo>
              <a:cubicBezTo>
                <a:pt x="242697" y="321510"/>
                <a:pt x="291144" y="314407"/>
                <a:pt x="338927" y="304019"/>
              </a:cubicBezTo>
              <a:cubicBezTo>
                <a:pt x="473966" y="274662"/>
                <a:pt x="381958" y="292210"/>
                <a:pt x="514233" y="272853"/>
              </a:cubicBezTo>
              <a:cubicBezTo>
                <a:pt x="538948" y="269236"/>
                <a:pt x="563426" y="263924"/>
                <a:pt x="588252" y="261166"/>
              </a:cubicBezTo>
              <a:cubicBezTo>
                <a:pt x="610231" y="258724"/>
                <a:pt x="632408" y="258650"/>
                <a:pt x="654479" y="257270"/>
              </a:cubicBezTo>
              <a:lnTo>
                <a:pt x="712914" y="253374"/>
              </a:lnTo>
              <a:cubicBezTo>
                <a:pt x="740184" y="254673"/>
                <a:pt x="767652" y="253739"/>
                <a:pt x="794724" y="257270"/>
              </a:cubicBezTo>
              <a:cubicBezTo>
                <a:pt x="798366" y="257745"/>
                <a:pt x="805113" y="262464"/>
                <a:pt x="802516" y="265061"/>
              </a:cubicBezTo>
              <a:cubicBezTo>
                <a:pt x="799612" y="267965"/>
                <a:pt x="794724" y="262464"/>
                <a:pt x="790828" y="261166"/>
              </a:cubicBezTo>
              <a:cubicBezTo>
                <a:pt x="773767" y="266852"/>
                <a:pt x="783734" y="261594"/>
                <a:pt x="771350" y="272853"/>
              </a:cubicBezTo>
              <a:cubicBezTo>
                <a:pt x="720223" y="319334"/>
                <a:pt x="751057" y="287405"/>
                <a:pt x="705123" y="339080"/>
              </a:cubicBezTo>
              <a:cubicBezTo>
                <a:pt x="703476" y="337433"/>
                <a:pt x="683729" y="320009"/>
                <a:pt x="709019" y="335184"/>
              </a:cubicBezTo>
              <a:cubicBezTo>
                <a:pt x="712168" y="337074"/>
                <a:pt x="713660" y="341086"/>
                <a:pt x="716810" y="342976"/>
              </a:cubicBezTo>
              <a:cubicBezTo>
                <a:pt x="720331" y="345089"/>
                <a:pt x="724601" y="345573"/>
                <a:pt x="728497" y="346871"/>
              </a:cubicBezTo>
              <a:cubicBezTo>
                <a:pt x="729796" y="355961"/>
                <a:pt x="729977" y="365282"/>
                <a:pt x="732393" y="374141"/>
              </a:cubicBezTo>
              <a:cubicBezTo>
                <a:pt x="737076" y="391313"/>
                <a:pt x="744164" y="391919"/>
                <a:pt x="755767" y="405307"/>
              </a:cubicBezTo>
              <a:cubicBezTo>
                <a:pt x="766330" y="417495"/>
                <a:pt x="799210" y="456935"/>
                <a:pt x="810307" y="475430"/>
              </a:cubicBezTo>
              <a:cubicBezTo>
                <a:pt x="816566" y="485861"/>
                <a:pt x="833020" y="521106"/>
                <a:pt x="837577" y="533865"/>
              </a:cubicBezTo>
              <a:cubicBezTo>
                <a:pt x="848422" y="564232"/>
                <a:pt x="842649" y="554156"/>
                <a:pt x="849264" y="580614"/>
              </a:cubicBezTo>
              <a:cubicBezTo>
                <a:pt x="850260" y="584598"/>
                <a:pt x="851861" y="588405"/>
                <a:pt x="853160" y="592301"/>
              </a:cubicBezTo>
              <a:cubicBezTo>
                <a:pt x="854458" y="607884"/>
                <a:pt x="855900" y="623455"/>
                <a:pt x="857055" y="639049"/>
              </a:cubicBezTo>
              <a:cubicBezTo>
                <a:pt x="858497" y="658518"/>
                <a:pt x="859454" y="678021"/>
                <a:pt x="860951" y="697485"/>
              </a:cubicBezTo>
              <a:cubicBezTo>
                <a:pt x="862051" y="711786"/>
                <a:pt x="864847" y="725995"/>
                <a:pt x="864847" y="740338"/>
              </a:cubicBezTo>
              <a:cubicBezTo>
                <a:pt x="864847" y="745692"/>
                <a:pt x="857165" y="728541"/>
                <a:pt x="860951" y="724755"/>
              </a:cubicBezTo>
              <a:cubicBezTo>
                <a:pt x="864261" y="721444"/>
                <a:pt x="866145" y="732546"/>
                <a:pt x="868742" y="736442"/>
              </a:cubicBezTo>
              <a:cubicBezTo>
                <a:pt x="870041" y="745532"/>
                <a:pt x="871206" y="754642"/>
                <a:pt x="872638" y="763712"/>
              </a:cubicBezTo>
              <a:cubicBezTo>
                <a:pt x="875102" y="779316"/>
                <a:pt x="878196" y="794821"/>
                <a:pt x="880430" y="810460"/>
              </a:cubicBezTo>
              <a:cubicBezTo>
                <a:pt x="881728" y="819550"/>
                <a:pt x="882433" y="828745"/>
                <a:pt x="884325" y="837730"/>
              </a:cubicBezTo>
              <a:cubicBezTo>
                <a:pt x="891573" y="872158"/>
                <a:pt x="892322" y="873409"/>
                <a:pt x="899908" y="896166"/>
              </a:cubicBezTo>
              <a:cubicBezTo>
                <a:pt x="902505" y="893569"/>
                <a:pt x="905810" y="891524"/>
                <a:pt x="907700" y="888374"/>
              </a:cubicBezTo>
              <a:cubicBezTo>
                <a:pt x="909813" y="884853"/>
                <a:pt x="911443" y="872583"/>
                <a:pt x="911595" y="876687"/>
              </a:cubicBezTo>
              <a:cubicBezTo>
                <a:pt x="914335" y="950666"/>
                <a:pt x="913142" y="1024750"/>
                <a:pt x="915491" y="1098742"/>
              </a:cubicBezTo>
              <a:cubicBezTo>
                <a:pt x="915742" y="1106637"/>
                <a:pt x="918343" y="1114287"/>
                <a:pt x="919387" y="1122117"/>
              </a:cubicBezTo>
              <a:cubicBezTo>
                <a:pt x="920941" y="1133773"/>
                <a:pt x="921349" y="1145579"/>
                <a:pt x="923282" y="1157178"/>
              </a:cubicBezTo>
              <a:cubicBezTo>
                <a:pt x="925516" y="1170582"/>
                <a:pt x="931176" y="1192647"/>
                <a:pt x="934969" y="1207822"/>
              </a:cubicBezTo>
              <a:cubicBezTo>
                <a:pt x="936268" y="1140297"/>
                <a:pt x="935601" y="1072705"/>
                <a:pt x="938865" y="1005246"/>
              </a:cubicBezTo>
              <a:cubicBezTo>
                <a:pt x="939505" y="992018"/>
                <a:pt x="946387" y="979528"/>
                <a:pt x="946657" y="966288"/>
              </a:cubicBezTo>
              <a:cubicBezTo>
                <a:pt x="947691" y="915638"/>
                <a:pt x="946968" y="864842"/>
                <a:pt x="942761" y="814356"/>
              </a:cubicBezTo>
              <a:cubicBezTo>
                <a:pt x="941738" y="802079"/>
                <a:pt x="937907" y="789545"/>
                <a:pt x="931074" y="779295"/>
              </a:cubicBezTo>
              <a:lnTo>
                <a:pt x="923282" y="767607"/>
              </a:lnTo>
              <a:cubicBezTo>
                <a:pt x="918316" y="752707"/>
                <a:pt x="914538" y="743364"/>
                <a:pt x="911595" y="728650"/>
              </a:cubicBezTo>
              <a:cubicBezTo>
                <a:pt x="910046" y="720905"/>
                <a:pt x="909778" y="712896"/>
                <a:pt x="907700" y="705276"/>
              </a:cubicBezTo>
              <a:cubicBezTo>
                <a:pt x="905860" y="698529"/>
                <a:pt x="902748" y="692188"/>
                <a:pt x="899908" y="685798"/>
              </a:cubicBezTo>
              <a:cubicBezTo>
                <a:pt x="893315" y="670965"/>
                <a:pt x="892684" y="671066"/>
                <a:pt x="884325" y="658528"/>
              </a:cubicBezTo>
              <a:cubicBezTo>
                <a:pt x="885624" y="649438"/>
                <a:pt x="883127" y="638898"/>
                <a:pt x="888221" y="631258"/>
              </a:cubicBezTo>
              <a:cubicBezTo>
                <a:pt x="891191" y="626803"/>
                <a:pt x="887328" y="649236"/>
                <a:pt x="892117" y="646841"/>
              </a:cubicBezTo>
              <a:cubicBezTo>
                <a:pt x="898039" y="643879"/>
                <a:pt x="894714" y="633855"/>
                <a:pt x="896012" y="627362"/>
              </a:cubicBezTo>
              <a:cubicBezTo>
                <a:pt x="893415" y="562434"/>
                <a:pt x="893617" y="497333"/>
                <a:pt x="888221" y="432577"/>
              </a:cubicBezTo>
              <a:cubicBezTo>
                <a:pt x="885624" y="401409"/>
                <a:pt x="855585" y="354276"/>
                <a:pt x="845368" y="331288"/>
              </a:cubicBezTo>
              <a:cubicBezTo>
                <a:pt x="826247" y="288267"/>
                <a:pt x="835505" y="307666"/>
                <a:pt x="818098" y="272853"/>
              </a:cubicBezTo>
              <a:cubicBezTo>
                <a:pt x="809257" y="228646"/>
                <a:pt x="813519" y="246743"/>
                <a:pt x="806411" y="218313"/>
              </a:cubicBezTo>
              <a:cubicBezTo>
                <a:pt x="803814" y="222209"/>
                <a:pt x="800862" y="225890"/>
                <a:pt x="798620" y="230000"/>
              </a:cubicBezTo>
              <a:cubicBezTo>
                <a:pt x="793058" y="240197"/>
                <a:pt x="783037" y="261166"/>
                <a:pt x="783037" y="261166"/>
              </a:cubicBezTo>
              <a:cubicBezTo>
                <a:pt x="778532" y="288191"/>
                <a:pt x="773873" y="304637"/>
                <a:pt x="783037" y="335184"/>
              </a:cubicBezTo>
              <a:cubicBezTo>
                <a:pt x="790048" y="358553"/>
                <a:pt x="803576" y="379449"/>
                <a:pt x="814203" y="401411"/>
              </a:cubicBezTo>
              <a:cubicBezTo>
                <a:pt x="855878" y="487538"/>
                <a:pt x="826337" y="424435"/>
                <a:pt x="868742" y="506595"/>
              </a:cubicBezTo>
              <a:cubicBezTo>
                <a:pt x="912950" y="592249"/>
                <a:pt x="894324" y="558945"/>
                <a:pt x="934969" y="642945"/>
              </a:cubicBezTo>
              <a:cubicBezTo>
                <a:pt x="953064" y="680341"/>
                <a:pt x="973512" y="717527"/>
                <a:pt x="989509" y="755920"/>
              </a:cubicBezTo>
              <a:cubicBezTo>
                <a:pt x="1002495" y="787086"/>
                <a:pt x="1016610" y="817804"/>
                <a:pt x="1028466" y="849417"/>
              </a:cubicBezTo>
              <a:cubicBezTo>
                <a:pt x="1032362" y="859806"/>
                <a:pt x="1036033" y="870281"/>
                <a:pt x="1040154" y="880583"/>
              </a:cubicBezTo>
              <a:cubicBezTo>
                <a:pt x="1043827" y="889765"/>
                <a:pt x="1048369" y="898593"/>
                <a:pt x="1051841" y="907853"/>
              </a:cubicBezTo>
              <a:cubicBezTo>
                <a:pt x="1060270" y="930331"/>
                <a:pt x="1066316" y="950731"/>
                <a:pt x="1071319" y="974080"/>
              </a:cubicBezTo>
              <a:cubicBezTo>
                <a:pt x="1082996" y="1028575"/>
                <a:pt x="1065592" y="963773"/>
                <a:pt x="1083006" y="1024724"/>
              </a:cubicBezTo>
              <a:cubicBezTo>
                <a:pt x="1084305" y="1035113"/>
                <a:pt x="1085181" y="1045563"/>
                <a:pt x="1086902" y="1055890"/>
              </a:cubicBezTo>
              <a:cubicBezTo>
                <a:pt x="1087782" y="1061171"/>
                <a:pt x="1089676" y="1066238"/>
                <a:pt x="1090798" y="1071473"/>
              </a:cubicBezTo>
              <a:cubicBezTo>
                <a:pt x="1099018" y="1109835"/>
                <a:pt x="1097667" y="1103976"/>
                <a:pt x="1102485" y="1137700"/>
              </a:cubicBezTo>
              <a:cubicBezTo>
                <a:pt x="1092853" y="1166595"/>
                <a:pt x="1098149" y="1163440"/>
                <a:pt x="1036258" y="1141595"/>
              </a:cubicBezTo>
              <a:cubicBezTo>
                <a:pt x="1031209" y="1139813"/>
                <a:pt x="1034448" y="1130943"/>
                <a:pt x="1032362" y="1126012"/>
              </a:cubicBezTo>
              <a:cubicBezTo>
                <a:pt x="1020135" y="1097111"/>
                <a:pt x="1004129" y="1069799"/>
                <a:pt x="993405" y="1040307"/>
              </a:cubicBezTo>
              <a:cubicBezTo>
                <a:pt x="977822" y="997454"/>
                <a:pt x="963592" y="954085"/>
                <a:pt x="946657" y="911749"/>
              </a:cubicBezTo>
              <a:cubicBezTo>
                <a:pt x="944060" y="905256"/>
                <a:pt x="941217" y="898856"/>
                <a:pt x="938865" y="892270"/>
              </a:cubicBezTo>
              <a:cubicBezTo>
                <a:pt x="934722" y="880669"/>
                <a:pt x="927178" y="857209"/>
                <a:pt x="927178" y="857209"/>
              </a:cubicBezTo>
              <a:cubicBezTo>
                <a:pt x="924778" y="806808"/>
                <a:pt x="923948" y="772652"/>
                <a:pt x="919387" y="724755"/>
              </a:cubicBezTo>
              <a:cubicBezTo>
                <a:pt x="918394" y="714333"/>
                <a:pt x="916790" y="703978"/>
                <a:pt x="915491" y="693589"/>
              </a:cubicBezTo>
              <a:cubicBezTo>
                <a:pt x="916402" y="667173"/>
                <a:pt x="916828" y="583611"/>
                <a:pt x="923282" y="541657"/>
              </a:cubicBezTo>
              <a:cubicBezTo>
                <a:pt x="923906" y="537598"/>
                <a:pt x="926182" y="533953"/>
                <a:pt x="927178" y="529969"/>
              </a:cubicBezTo>
              <a:cubicBezTo>
                <a:pt x="928784" y="523545"/>
                <a:pt x="929775" y="516984"/>
                <a:pt x="931074" y="510491"/>
              </a:cubicBezTo>
              <a:cubicBezTo>
                <a:pt x="929775" y="440368"/>
                <a:pt x="930181" y="370193"/>
                <a:pt x="927178" y="300123"/>
              </a:cubicBezTo>
              <a:cubicBezTo>
                <a:pt x="925474" y="260352"/>
                <a:pt x="919294" y="231652"/>
                <a:pt x="907700" y="194939"/>
              </a:cubicBezTo>
              <a:cubicBezTo>
                <a:pt x="904359" y="184359"/>
                <a:pt x="900974" y="173697"/>
                <a:pt x="896012" y="163773"/>
              </a:cubicBezTo>
              <a:cubicBezTo>
                <a:pt x="891824" y="155398"/>
                <a:pt x="884914" y="148620"/>
                <a:pt x="880430" y="140399"/>
              </a:cubicBezTo>
              <a:cubicBezTo>
                <a:pt x="877081" y="134260"/>
                <a:pt x="875766" y="127175"/>
                <a:pt x="872638" y="120920"/>
              </a:cubicBezTo>
              <a:cubicBezTo>
                <a:pt x="869252" y="114148"/>
                <a:pt x="864628" y="108061"/>
                <a:pt x="860951" y="101442"/>
              </a:cubicBezTo>
              <a:cubicBezTo>
                <a:pt x="856214" y="92915"/>
                <a:pt x="854297" y="83425"/>
                <a:pt x="845368" y="78068"/>
              </a:cubicBezTo>
              <a:cubicBezTo>
                <a:pt x="841847" y="75955"/>
                <a:pt x="837577" y="75471"/>
                <a:pt x="833681" y="74172"/>
              </a:cubicBezTo>
              <a:cubicBezTo>
                <a:pt x="823293" y="75471"/>
                <a:pt x="811559" y="72793"/>
                <a:pt x="802516" y="78068"/>
              </a:cubicBezTo>
              <a:cubicBezTo>
                <a:pt x="794428" y="82786"/>
                <a:pt x="793554" y="94821"/>
                <a:pt x="786933" y="101442"/>
              </a:cubicBezTo>
              <a:cubicBezTo>
                <a:pt x="781739" y="106636"/>
                <a:pt x="775425" y="110913"/>
                <a:pt x="771350" y="117025"/>
              </a:cubicBezTo>
              <a:lnTo>
                <a:pt x="755767" y="140399"/>
              </a:lnTo>
              <a:cubicBezTo>
                <a:pt x="753170" y="144295"/>
                <a:pt x="751287" y="148776"/>
                <a:pt x="747976" y="152086"/>
              </a:cubicBezTo>
              <a:lnTo>
                <a:pt x="740184" y="159877"/>
              </a:lnTo>
              <a:cubicBezTo>
                <a:pt x="731893" y="184757"/>
                <a:pt x="736709" y="157982"/>
                <a:pt x="751871" y="183252"/>
              </a:cubicBezTo>
              <a:cubicBezTo>
                <a:pt x="757416" y="192494"/>
                <a:pt x="766053" y="244342"/>
                <a:pt x="767454" y="249479"/>
              </a:cubicBezTo>
              <a:cubicBezTo>
                <a:pt x="771776" y="265326"/>
                <a:pt x="778317" y="280494"/>
                <a:pt x="783037" y="296227"/>
              </a:cubicBezTo>
              <a:cubicBezTo>
                <a:pt x="790008" y="319463"/>
                <a:pt x="796454" y="342860"/>
                <a:pt x="802516" y="366350"/>
              </a:cubicBezTo>
              <a:cubicBezTo>
                <a:pt x="810587" y="397626"/>
                <a:pt x="814440" y="425893"/>
                <a:pt x="825890" y="455951"/>
              </a:cubicBezTo>
              <a:cubicBezTo>
                <a:pt x="831476" y="470614"/>
                <a:pt x="839541" y="484236"/>
                <a:pt x="845368" y="498804"/>
              </a:cubicBezTo>
              <a:cubicBezTo>
                <a:pt x="849943" y="510242"/>
                <a:pt x="852345" y="522482"/>
                <a:pt x="857055" y="533865"/>
              </a:cubicBezTo>
              <a:cubicBezTo>
                <a:pt x="894605" y="624610"/>
                <a:pt x="879694" y="586583"/>
                <a:pt x="911595" y="646841"/>
              </a:cubicBezTo>
              <a:cubicBezTo>
                <a:pt x="933776" y="688740"/>
                <a:pt x="918144" y="665960"/>
                <a:pt x="938865" y="693589"/>
              </a:cubicBezTo>
              <a:cubicBezTo>
                <a:pt x="940164" y="697485"/>
                <a:pt x="941143" y="701502"/>
                <a:pt x="942761" y="705276"/>
              </a:cubicBezTo>
              <a:cubicBezTo>
                <a:pt x="948351" y="718319"/>
                <a:pt x="954849" y="728021"/>
                <a:pt x="962239" y="740338"/>
              </a:cubicBezTo>
              <a:cubicBezTo>
                <a:pt x="960941" y="728651"/>
                <a:pt x="968862" y="710535"/>
                <a:pt x="958344" y="705276"/>
              </a:cubicBezTo>
              <a:cubicBezTo>
                <a:pt x="948980" y="700593"/>
                <a:pt x="955317" y="726009"/>
                <a:pt x="954448" y="736442"/>
              </a:cubicBezTo>
              <a:cubicBezTo>
                <a:pt x="951421" y="772769"/>
                <a:pt x="949137" y="809154"/>
                <a:pt x="946657" y="845522"/>
              </a:cubicBezTo>
              <a:cubicBezTo>
                <a:pt x="945241" y="866291"/>
                <a:pt x="944766" y="887132"/>
                <a:pt x="942761" y="907853"/>
              </a:cubicBezTo>
              <a:cubicBezTo>
                <a:pt x="936545" y="972077"/>
                <a:pt x="936581" y="951964"/>
                <a:pt x="927178" y="1005246"/>
              </a:cubicBezTo>
              <a:cubicBezTo>
                <a:pt x="916405" y="1066296"/>
                <a:pt x="931347" y="993727"/>
                <a:pt x="919387" y="1071473"/>
              </a:cubicBezTo>
              <a:cubicBezTo>
                <a:pt x="918763" y="1075532"/>
                <a:pt x="916790" y="1079264"/>
                <a:pt x="915491" y="1083160"/>
              </a:cubicBezTo>
              <a:cubicBezTo>
                <a:pt x="916790" y="1101340"/>
                <a:pt x="917737" y="1119549"/>
                <a:pt x="919387" y="1137700"/>
              </a:cubicBezTo>
              <a:cubicBezTo>
                <a:pt x="920335" y="1148126"/>
                <a:pt x="923282" y="1179334"/>
                <a:pt x="923282" y="1168865"/>
              </a:cubicBezTo>
              <a:cubicBezTo>
                <a:pt x="923282" y="1137347"/>
                <a:pt x="920071" y="1122325"/>
                <a:pt x="915491" y="1094847"/>
              </a:cubicBezTo>
              <a:cubicBezTo>
                <a:pt x="921984" y="923436"/>
                <a:pt x="921163" y="751591"/>
                <a:pt x="934969" y="580614"/>
              </a:cubicBezTo>
              <a:cubicBezTo>
                <a:pt x="938113" y="541675"/>
                <a:pt x="954845" y="505036"/>
                <a:pt x="966135" y="467638"/>
              </a:cubicBezTo>
              <a:cubicBezTo>
                <a:pt x="1003262" y="344655"/>
                <a:pt x="986479" y="410598"/>
                <a:pt x="1020675" y="311810"/>
              </a:cubicBezTo>
              <a:cubicBezTo>
                <a:pt x="1025110" y="298998"/>
                <a:pt x="1028466" y="285839"/>
                <a:pt x="1032362" y="272853"/>
              </a:cubicBezTo>
              <a:cubicBezTo>
                <a:pt x="1033661" y="263763"/>
                <a:pt x="1036258" y="254765"/>
                <a:pt x="1036258" y="245583"/>
              </a:cubicBezTo>
              <a:cubicBezTo>
                <a:pt x="1036258" y="238961"/>
                <a:pt x="1033799" y="232568"/>
                <a:pt x="1032362" y="226104"/>
              </a:cubicBezTo>
              <a:cubicBezTo>
                <a:pt x="1031200" y="220878"/>
                <a:pt x="1029627" y="215748"/>
                <a:pt x="1028466" y="210522"/>
              </a:cubicBezTo>
              <a:cubicBezTo>
                <a:pt x="1027030" y="204058"/>
                <a:pt x="1026007" y="197507"/>
                <a:pt x="1024571" y="191043"/>
              </a:cubicBezTo>
              <a:cubicBezTo>
                <a:pt x="1023410" y="185816"/>
                <a:pt x="1021725" y="180710"/>
                <a:pt x="1020675" y="175460"/>
              </a:cubicBezTo>
              <a:cubicBezTo>
                <a:pt x="1017475" y="159459"/>
                <a:pt x="1014409" y="121938"/>
                <a:pt x="1001196" y="113129"/>
              </a:cubicBezTo>
              <a:cubicBezTo>
                <a:pt x="986092" y="103060"/>
                <a:pt x="993951" y="106819"/>
                <a:pt x="977822" y="101442"/>
              </a:cubicBezTo>
              <a:cubicBezTo>
                <a:pt x="966135" y="102741"/>
                <a:pt x="954219" y="102694"/>
                <a:pt x="942761" y="105338"/>
              </a:cubicBezTo>
              <a:cubicBezTo>
                <a:pt x="925236" y="109382"/>
                <a:pt x="930199" y="114616"/>
                <a:pt x="915491" y="120920"/>
              </a:cubicBezTo>
              <a:cubicBezTo>
                <a:pt x="910570" y="123029"/>
                <a:pt x="904921" y="122936"/>
                <a:pt x="899908" y="124816"/>
              </a:cubicBezTo>
              <a:cubicBezTo>
                <a:pt x="894470" y="126855"/>
                <a:pt x="889763" y="130568"/>
                <a:pt x="884325" y="132607"/>
              </a:cubicBezTo>
              <a:cubicBezTo>
                <a:pt x="873020" y="136846"/>
                <a:pt x="851429" y="138977"/>
                <a:pt x="841473" y="140399"/>
              </a:cubicBezTo>
              <a:cubicBezTo>
                <a:pt x="842771" y="148190"/>
                <a:pt x="843955" y="156002"/>
                <a:pt x="845368" y="163773"/>
              </a:cubicBezTo>
              <a:cubicBezTo>
                <a:pt x="846552" y="170288"/>
                <a:pt x="848257" y="176707"/>
                <a:pt x="849264" y="183252"/>
              </a:cubicBezTo>
              <a:cubicBezTo>
                <a:pt x="850856" y="193599"/>
                <a:pt x="851861" y="204029"/>
                <a:pt x="853160" y="214417"/>
              </a:cubicBezTo>
              <a:cubicBezTo>
                <a:pt x="856238" y="303695"/>
                <a:pt x="853964" y="335920"/>
                <a:pt x="868742" y="420890"/>
              </a:cubicBezTo>
              <a:cubicBezTo>
                <a:pt x="886193" y="521231"/>
                <a:pt x="928682" y="634745"/>
                <a:pt x="958344" y="724755"/>
              </a:cubicBezTo>
              <a:cubicBezTo>
                <a:pt x="1066110" y="1051772"/>
                <a:pt x="952872" y="706505"/>
                <a:pt x="1028466" y="919540"/>
              </a:cubicBezTo>
              <a:cubicBezTo>
                <a:pt x="1047629" y="973543"/>
                <a:pt x="1042179" y="971276"/>
                <a:pt x="1059632" y="1028620"/>
              </a:cubicBezTo>
              <a:cubicBezTo>
                <a:pt x="1062862" y="1039234"/>
                <a:pt x="1067423" y="1049397"/>
                <a:pt x="1071319" y="1059785"/>
              </a:cubicBezTo>
              <a:cubicBezTo>
                <a:pt x="1072618" y="1068875"/>
                <a:pt x="1073414" y="1078051"/>
                <a:pt x="1075215" y="1087055"/>
              </a:cubicBezTo>
              <a:cubicBezTo>
                <a:pt x="1076020" y="1091082"/>
                <a:pt x="1078376" y="1094702"/>
                <a:pt x="1079111" y="1098742"/>
              </a:cubicBezTo>
              <a:cubicBezTo>
                <a:pt x="1080984" y="1109043"/>
                <a:pt x="1083006" y="1129908"/>
                <a:pt x="1083006" y="1129908"/>
              </a:cubicBezTo>
            </a:path>
          </a:pathLst>
        </a:cu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553191</xdr:colOff>
      <xdr:row>144</xdr:row>
      <xdr:rowOff>23374</xdr:rowOff>
    </xdr:from>
    <xdr:to>
      <xdr:col>6</xdr:col>
      <xdr:colOff>775246</xdr:colOff>
      <xdr:row>145</xdr:row>
      <xdr:rowOff>85705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6FD2DEF0-7A47-62A9-64EB-3626E70CD0CE}"/>
            </a:ext>
          </a:extLst>
        </xdr:cNvPr>
        <xdr:cNvSpPr/>
      </xdr:nvSpPr>
      <xdr:spPr>
        <a:xfrm>
          <a:off x="13525644141" y="29217791"/>
          <a:ext cx="222055" cy="264908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194786</xdr:colOff>
      <xdr:row>143</xdr:row>
      <xdr:rowOff>186994</xdr:rowOff>
    </xdr:from>
    <xdr:to>
      <xdr:col>6</xdr:col>
      <xdr:colOff>416841</xdr:colOff>
      <xdr:row>145</xdr:row>
      <xdr:rowOff>46748</xdr:rowOff>
    </xdr:to>
    <xdr:sp macro="" textlink="">
      <xdr:nvSpPr>
        <xdr:cNvPr id="163" name="Oval 162">
          <a:extLst>
            <a:ext uri="{FF2B5EF4-FFF2-40B4-BE49-F238E27FC236}">
              <a16:creationId xmlns:a16="http://schemas.microsoft.com/office/drawing/2014/main" id="{E39894FA-E68A-BA97-33D2-CD91C3344579}"/>
            </a:ext>
          </a:extLst>
        </xdr:cNvPr>
        <xdr:cNvSpPr/>
      </xdr:nvSpPr>
      <xdr:spPr>
        <a:xfrm>
          <a:off x="13526002546" y="29178834"/>
          <a:ext cx="222055" cy="264908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416841</xdr:colOff>
      <xdr:row>144</xdr:row>
      <xdr:rowOff>116871</xdr:rowOff>
    </xdr:from>
    <xdr:to>
      <xdr:col>6</xdr:col>
      <xdr:colOff>553191</xdr:colOff>
      <xdr:row>144</xdr:row>
      <xdr:rowOff>155828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7F1BAE0A-BBA1-D2AE-2AB2-936912EF54E3}"/>
            </a:ext>
          </a:extLst>
        </xdr:cNvPr>
        <xdr:cNvCxnSpPr>
          <a:stCxn id="162" idx="6"/>
          <a:endCxn id="163" idx="2"/>
        </xdr:cNvCxnSpPr>
      </xdr:nvCxnSpPr>
      <xdr:spPr>
        <a:xfrm flipV="1">
          <a:off x="13525866196" y="29311288"/>
          <a:ext cx="136350" cy="38957"/>
        </a:xfrm>
        <a:prstGeom prst="line">
          <a:avLst/>
        </a:prstGeom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214264</xdr:colOff>
      <xdr:row>158</xdr:row>
      <xdr:rowOff>77914</xdr:rowOff>
    </xdr:from>
    <xdr:to>
      <xdr:col>7</xdr:col>
      <xdr:colOff>631104</xdr:colOff>
      <xdr:row>158</xdr:row>
      <xdr:rowOff>101289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413CB9AB-854F-248F-8D80-5AE6A9B8180C}"/>
            </a:ext>
          </a:extLst>
        </xdr:cNvPr>
        <xdr:cNvCxnSpPr/>
      </xdr:nvCxnSpPr>
      <xdr:spPr>
        <a:xfrm>
          <a:off x="13524962393" y="31095521"/>
          <a:ext cx="6198067" cy="233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358405</xdr:colOff>
      <xdr:row>141</xdr:row>
      <xdr:rowOff>101288</xdr:rowOff>
    </xdr:from>
    <xdr:to>
      <xdr:col>9</xdr:col>
      <xdr:colOff>120767</xdr:colOff>
      <xdr:row>143</xdr:row>
      <xdr:rowOff>183099</xdr:rowOff>
    </xdr:to>
    <xdr:sp macro="" textlink="">
      <xdr:nvSpPr>
        <xdr:cNvPr id="169" name="Cloud Callout 168">
          <a:extLst>
            <a:ext uri="{FF2B5EF4-FFF2-40B4-BE49-F238E27FC236}">
              <a16:creationId xmlns:a16="http://schemas.microsoft.com/office/drawing/2014/main" id="{95753AFD-201E-0C65-3AB3-5A6BB3F00D7A}"/>
            </a:ext>
          </a:extLst>
        </xdr:cNvPr>
        <xdr:cNvSpPr/>
      </xdr:nvSpPr>
      <xdr:spPr>
        <a:xfrm>
          <a:off x="13523820951" y="28687975"/>
          <a:ext cx="1414141" cy="486964"/>
        </a:xfrm>
        <a:prstGeom prst="cloudCallout">
          <a:avLst>
            <a:gd name="adj1" fmla="val 58129"/>
            <a:gd name="adj2" fmla="val 61561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וואו שיגעון</a:t>
          </a:r>
          <a:endParaRPr lang="en-US" sz="1100"/>
        </a:p>
      </xdr:txBody>
    </xdr:sp>
    <xdr:clientData/>
  </xdr:twoCellAnchor>
  <xdr:twoCellAnchor>
    <xdr:from>
      <xdr:col>5</xdr:col>
      <xdr:colOff>416841</xdr:colOff>
      <xdr:row>158</xdr:row>
      <xdr:rowOff>29218</xdr:rowOff>
    </xdr:from>
    <xdr:to>
      <xdr:col>6</xdr:col>
      <xdr:colOff>438269</xdr:colOff>
      <xdr:row>159</xdr:row>
      <xdr:rowOff>42853</xdr:rowOff>
    </xdr:to>
    <xdr:sp macro="" textlink="">
      <xdr:nvSpPr>
        <xdr:cNvPr id="170" name="Left Brace 169">
          <a:extLst>
            <a:ext uri="{FF2B5EF4-FFF2-40B4-BE49-F238E27FC236}">
              <a16:creationId xmlns:a16="http://schemas.microsoft.com/office/drawing/2014/main" id="{9C1EE3A8-52FB-E2D2-AE53-4C7BDA435D4F}"/>
            </a:ext>
          </a:extLst>
        </xdr:cNvPr>
        <xdr:cNvSpPr/>
      </xdr:nvSpPr>
      <xdr:spPr>
        <a:xfrm rot="16200000">
          <a:off x="13526296671" y="30731272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397361</xdr:colOff>
      <xdr:row>158</xdr:row>
      <xdr:rowOff>40905</xdr:rowOff>
    </xdr:from>
    <xdr:to>
      <xdr:col>4</xdr:col>
      <xdr:colOff>418789</xdr:colOff>
      <xdr:row>159</xdr:row>
      <xdr:rowOff>54540</xdr:rowOff>
    </xdr:to>
    <xdr:sp macro="" textlink="">
      <xdr:nvSpPr>
        <xdr:cNvPr id="171" name="Left Brace 170">
          <a:extLst>
            <a:ext uri="{FF2B5EF4-FFF2-40B4-BE49-F238E27FC236}">
              <a16:creationId xmlns:a16="http://schemas.microsoft.com/office/drawing/2014/main" id="{29BE8548-7034-9927-80F1-272074E7346F}"/>
            </a:ext>
          </a:extLst>
        </xdr:cNvPr>
        <xdr:cNvSpPr/>
      </xdr:nvSpPr>
      <xdr:spPr>
        <a:xfrm rot="16200000">
          <a:off x="13527967930" y="30742959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412943</xdr:colOff>
      <xdr:row>158</xdr:row>
      <xdr:rowOff>64280</xdr:rowOff>
    </xdr:from>
    <xdr:to>
      <xdr:col>2</xdr:col>
      <xdr:colOff>434371</xdr:colOff>
      <xdr:row>159</xdr:row>
      <xdr:rowOff>77915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8A50CB53-14B0-2522-D74A-42F69D56F3A2}"/>
            </a:ext>
          </a:extLst>
        </xdr:cNvPr>
        <xdr:cNvSpPr/>
      </xdr:nvSpPr>
      <xdr:spPr>
        <a:xfrm rot="16200000">
          <a:off x="13529604127" y="30766334"/>
          <a:ext cx="216212" cy="8473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226496</xdr:colOff>
      <xdr:row>159</xdr:row>
      <xdr:rowOff>98383</xdr:rowOff>
    </xdr:from>
    <xdr:ext cx="12139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66CECA93-2C18-464B-FB99-67B92ECD7B1A}"/>
                </a:ext>
              </a:extLst>
            </xdr:cNvPr>
            <xdr:cNvSpPr txBox="1"/>
          </xdr:nvSpPr>
          <xdr:spPr>
            <a:xfrm>
              <a:off x="13512799463" y="32277109"/>
              <a:ext cx="12139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66CECA93-2C18-464B-FB99-67B92ECD7B1A}"/>
                </a:ext>
              </a:extLst>
            </xdr:cNvPr>
            <xdr:cNvSpPr txBox="1"/>
          </xdr:nvSpPr>
          <xdr:spPr>
            <a:xfrm>
              <a:off x="13512799463" y="32277109"/>
              <a:ext cx="12139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=20,000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343399</xdr:colOff>
      <xdr:row>160</xdr:row>
      <xdr:rowOff>114043</xdr:rowOff>
    </xdr:from>
    <xdr:ext cx="10731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519ACA97-E0EF-7748-9602-98E4F86342B6}"/>
                </a:ext>
              </a:extLst>
            </xdr:cNvPr>
            <xdr:cNvSpPr txBox="1"/>
          </xdr:nvSpPr>
          <xdr:spPr>
            <a:xfrm>
              <a:off x="13532782147" y="32702569"/>
              <a:ext cx="10731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=8∗2=16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519ACA97-E0EF-7748-9602-98E4F86342B6}"/>
                </a:ext>
              </a:extLst>
            </xdr:cNvPr>
            <xdr:cNvSpPr txBox="1"/>
          </xdr:nvSpPr>
          <xdr:spPr>
            <a:xfrm>
              <a:off x="13532782147" y="32702569"/>
              <a:ext cx="10731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=8∗2=16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436321</xdr:colOff>
      <xdr:row>161</xdr:row>
      <xdr:rowOff>191433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5" name="TextBox 174">
              <a:extLst>
                <a:ext uri="{FF2B5EF4-FFF2-40B4-BE49-F238E27FC236}">
                  <a16:creationId xmlns:a16="http://schemas.microsoft.com/office/drawing/2014/main" id="{6DBF0D8D-D459-61CC-362B-523378BCD287}"/>
                </a:ext>
              </a:extLst>
            </xdr:cNvPr>
            <xdr:cNvSpPr txBox="1"/>
          </xdr:nvSpPr>
          <xdr:spPr>
            <a:xfrm>
              <a:off x="13525926948" y="31816770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5" name="TextBox 174">
              <a:extLst>
                <a:ext uri="{FF2B5EF4-FFF2-40B4-BE49-F238E27FC236}">
                  <a16:creationId xmlns:a16="http://schemas.microsoft.com/office/drawing/2014/main" id="{6DBF0D8D-D459-61CC-362B-523378BCD287}"/>
                </a:ext>
              </a:extLst>
            </xdr:cNvPr>
            <xdr:cNvSpPr txBox="1"/>
          </xdr:nvSpPr>
          <xdr:spPr>
            <a:xfrm>
              <a:off x="13525926948" y="31816770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r>
                <a:rPr lang="he-IL" sz="1100" b="0" i="0">
                  <a:latin typeface="Cambria Math" panose="02040503050406030204" pitchFamily="18" charset="0"/>
                </a:rPr>
                <a:t>=5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412945</xdr:colOff>
      <xdr:row>159</xdr:row>
      <xdr:rowOff>72925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8A1C9224-4A41-38CF-0EB4-11DA2B0F1389}"/>
                </a:ext>
              </a:extLst>
            </xdr:cNvPr>
            <xdr:cNvSpPr txBox="1"/>
          </xdr:nvSpPr>
          <xdr:spPr>
            <a:xfrm>
              <a:off x="13516245302" y="32251651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8A1C9224-4A41-38CF-0EB4-11DA2B0F1389}"/>
                </a:ext>
              </a:extLst>
            </xdr:cNvPr>
            <xdr:cNvSpPr txBox="1"/>
          </xdr:nvSpPr>
          <xdr:spPr>
            <a:xfrm>
              <a:off x="13516245302" y="32251651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161783</xdr:colOff>
      <xdr:row>159</xdr:row>
      <xdr:rowOff>70667</xdr:rowOff>
    </xdr:from>
    <xdr:ext cx="11916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5F89A165-ABF3-BEFB-74FA-41A1F5519823}"/>
                </a:ext>
              </a:extLst>
            </xdr:cNvPr>
            <xdr:cNvSpPr txBox="1"/>
          </xdr:nvSpPr>
          <xdr:spPr>
            <a:xfrm>
              <a:off x="13514536675" y="32249393"/>
              <a:ext cx="11916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=12,000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5F89A165-ABF3-BEFB-74FA-41A1F5519823}"/>
                </a:ext>
              </a:extLst>
            </xdr:cNvPr>
            <xdr:cNvSpPr txBox="1"/>
          </xdr:nvSpPr>
          <xdr:spPr>
            <a:xfrm>
              <a:off x="13514536675" y="32249393"/>
              <a:ext cx="11916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</a:t>
              </a:r>
              <a:r>
                <a:rPr lang="he-IL" sz="1100" b="0" i="0">
                  <a:latin typeface="Cambria Math" panose="02040503050406030204" pitchFamily="18" charset="0"/>
                </a:rPr>
                <a:t>=12,000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203526</xdr:colOff>
      <xdr:row>160</xdr:row>
      <xdr:rowOff>111720</xdr:rowOff>
    </xdr:from>
    <xdr:ext cx="10599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5CDBC5C3-1061-F89D-A6A7-C9916977C923}"/>
                </a:ext>
              </a:extLst>
            </xdr:cNvPr>
            <xdr:cNvSpPr txBox="1"/>
          </xdr:nvSpPr>
          <xdr:spPr>
            <a:xfrm>
              <a:off x="13534587825" y="32700246"/>
              <a:ext cx="10599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=3∗4=12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8" name="TextBox 177">
              <a:extLst>
                <a:ext uri="{FF2B5EF4-FFF2-40B4-BE49-F238E27FC236}">
                  <a16:creationId xmlns:a16="http://schemas.microsoft.com/office/drawing/2014/main" id="{5CDBC5C3-1061-F89D-A6A7-C9916977C923}"/>
                </a:ext>
              </a:extLst>
            </xdr:cNvPr>
            <xdr:cNvSpPr txBox="1"/>
          </xdr:nvSpPr>
          <xdr:spPr>
            <a:xfrm>
              <a:off x="13534587825" y="32700246"/>
              <a:ext cx="10599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=3∗4=12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162820</xdr:colOff>
      <xdr:row>160</xdr:row>
      <xdr:rowOff>117414</xdr:rowOff>
    </xdr:from>
    <xdr:ext cx="128379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8BD2136-CB0D-455D-8F4C-40B8630ABEEA}"/>
                </a:ext>
              </a:extLst>
            </xdr:cNvPr>
            <xdr:cNvSpPr txBox="1"/>
          </xdr:nvSpPr>
          <xdr:spPr>
            <a:xfrm>
              <a:off x="13536057331" y="32705940"/>
              <a:ext cx="128379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=3∗12=36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8BD2136-CB0D-455D-8F4C-40B8630ABEEA}"/>
                </a:ext>
              </a:extLst>
            </xdr:cNvPr>
            <xdr:cNvSpPr txBox="1"/>
          </xdr:nvSpPr>
          <xdr:spPr>
            <a:xfrm>
              <a:off x="13536057331" y="32705940"/>
              <a:ext cx="128379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</a:t>
              </a:r>
              <a:r>
                <a:rPr lang="he-IL" sz="1100" b="0" i="0">
                  <a:latin typeface="Cambria Math" panose="02040503050406030204" pitchFamily="18" charset="0"/>
                </a:rPr>
                <a:t>=3∗12=36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377885</xdr:colOff>
      <xdr:row>161</xdr:row>
      <xdr:rowOff>171955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8F50B786-4F35-4B81-7293-E58319D3254A}"/>
                </a:ext>
              </a:extLst>
            </xdr:cNvPr>
            <xdr:cNvSpPr txBox="1"/>
          </xdr:nvSpPr>
          <xdr:spPr>
            <a:xfrm>
              <a:off x="13527637163" y="31797292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8F50B786-4F35-4B81-7293-E58319D3254A}"/>
                </a:ext>
              </a:extLst>
            </xdr:cNvPr>
            <xdr:cNvSpPr txBox="1"/>
          </xdr:nvSpPr>
          <xdr:spPr>
            <a:xfrm>
              <a:off x="13527637163" y="31797292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377885</xdr:colOff>
      <xdr:row>161</xdr:row>
      <xdr:rowOff>175851</xdr:rowOff>
    </xdr:from>
    <xdr:ext cx="8820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DA67AD4B-5FE8-E34D-CD03-B8FD3A7A64B0}"/>
                </a:ext>
              </a:extLst>
            </xdr:cNvPr>
            <xdr:cNvSpPr txBox="1"/>
          </xdr:nvSpPr>
          <xdr:spPr>
            <a:xfrm>
              <a:off x="13529288942" y="31801188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DA67AD4B-5FE8-E34D-CD03-B8FD3A7A64B0}"/>
                </a:ext>
              </a:extLst>
            </xdr:cNvPr>
            <xdr:cNvSpPr txBox="1"/>
          </xdr:nvSpPr>
          <xdr:spPr>
            <a:xfrm>
              <a:off x="13529288942" y="31801188"/>
              <a:ext cx="8820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682494</xdr:colOff>
      <xdr:row>155</xdr:row>
      <xdr:rowOff>186454</xdr:rowOff>
    </xdr:from>
    <xdr:to>
      <xdr:col>2</xdr:col>
      <xdr:colOff>163621</xdr:colOff>
      <xdr:row>157</xdr:row>
      <xdr:rowOff>46748</xdr:rowOff>
    </xdr:to>
    <xdr:sp macro="" textlink="">
      <xdr:nvSpPr>
        <xdr:cNvPr id="182" name="Rounded Rectangle 181">
          <a:extLst>
            <a:ext uri="{FF2B5EF4-FFF2-40B4-BE49-F238E27FC236}">
              <a16:creationId xmlns:a16="http://schemas.microsoft.com/office/drawing/2014/main" id="{6FDB75A2-67CC-A422-E503-E7FD0B81853D}"/>
            </a:ext>
          </a:extLst>
        </xdr:cNvPr>
        <xdr:cNvSpPr/>
      </xdr:nvSpPr>
      <xdr:spPr>
        <a:xfrm>
          <a:off x="13543348567" y="31630388"/>
          <a:ext cx="307859" cy="26838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3</xdr:col>
      <xdr:colOff>670062</xdr:colOff>
      <xdr:row>156</xdr:row>
      <xdr:rowOff>11687</xdr:rowOff>
    </xdr:from>
    <xdr:to>
      <xdr:col>4</xdr:col>
      <xdr:colOff>144142</xdr:colOff>
      <xdr:row>157</xdr:row>
      <xdr:rowOff>62331</xdr:rowOff>
    </xdr:to>
    <xdr:sp macro="" textlink="">
      <xdr:nvSpPr>
        <xdr:cNvPr id="183" name="Rounded Rectangle 182">
          <a:extLst>
            <a:ext uri="{FF2B5EF4-FFF2-40B4-BE49-F238E27FC236}">
              <a16:creationId xmlns:a16="http://schemas.microsoft.com/office/drawing/2014/main" id="{CDC123E8-9007-A520-9874-BF1877B41EDA}"/>
            </a:ext>
          </a:extLst>
        </xdr:cNvPr>
        <xdr:cNvSpPr/>
      </xdr:nvSpPr>
      <xdr:spPr>
        <a:xfrm>
          <a:off x="13527927024" y="30624141"/>
          <a:ext cx="299969" cy="25322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745816</xdr:colOff>
      <xdr:row>155</xdr:row>
      <xdr:rowOff>179418</xdr:rowOff>
    </xdr:from>
    <xdr:to>
      <xdr:col>6</xdr:col>
      <xdr:colOff>179203</xdr:colOff>
      <xdr:row>157</xdr:row>
      <xdr:rowOff>27269</xdr:rowOff>
    </xdr:to>
    <xdr:sp macro="" textlink="">
      <xdr:nvSpPr>
        <xdr:cNvPr id="185" name="Rounded Rectangle 184">
          <a:extLst>
            <a:ext uri="{FF2B5EF4-FFF2-40B4-BE49-F238E27FC236}">
              <a16:creationId xmlns:a16="http://schemas.microsoft.com/office/drawing/2014/main" id="{D833D467-5B86-F551-F04B-A3C4902EC655}"/>
            </a:ext>
          </a:extLst>
        </xdr:cNvPr>
        <xdr:cNvSpPr/>
      </xdr:nvSpPr>
      <xdr:spPr>
        <a:xfrm>
          <a:off x="13540026060" y="31623352"/>
          <a:ext cx="260118" cy="25593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817006</xdr:colOff>
      <xdr:row>163</xdr:row>
      <xdr:rowOff>28313</xdr:rowOff>
    </xdr:from>
    <xdr:to>
      <xdr:col>6</xdr:col>
      <xdr:colOff>137516</xdr:colOff>
      <xdr:row>164</xdr:row>
      <xdr:rowOff>93026</xdr:rowOff>
    </xdr:to>
    <xdr:sp macro="" textlink="">
      <xdr:nvSpPr>
        <xdr:cNvPr id="186" name="Down Arrow 185">
          <a:extLst>
            <a:ext uri="{FF2B5EF4-FFF2-40B4-BE49-F238E27FC236}">
              <a16:creationId xmlns:a16="http://schemas.microsoft.com/office/drawing/2014/main" id="{5BF5831B-3ED5-FF0C-506E-5949DCC6131A}"/>
            </a:ext>
          </a:extLst>
        </xdr:cNvPr>
        <xdr:cNvSpPr/>
      </xdr:nvSpPr>
      <xdr:spPr>
        <a:xfrm>
          <a:off x="13513277261" y="33015956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445154</xdr:colOff>
      <xdr:row>164</xdr:row>
      <xdr:rowOff>114560</xdr:rowOff>
    </xdr:from>
    <xdr:ext cx="3029145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3E537BE-43C4-0BC3-5D53-D8F7ACE066A7}"/>
                </a:ext>
              </a:extLst>
            </xdr:cNvPr>
            <xdr:cNvSpPr txBox="1"/>
          </xdr:nvSpPr>
          <xdr:spPr>
            <a:xfrm>
              <a:off x="13510765573" y="33304433"/>
              <a:ext cx="3029145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1+10.25%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=0.05∗100=5%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3E537BE-43C4-0BC3-5D53-D8F7ACE066A7}"/>
                </a:ext>
              </a:extLst>
            </xdr:cNvPr>
            <xdr:cNvSpPr txBox="1"/>
          </xdr:nvSpPr>
          <xdr:spPr>
            <a:xfrm>
              <a:off x="13510765573" y="33304433"/>
              <a:ext cx="3029145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𝐼%=(1+10.25%)^(1/2)−1</a:t>
              </a:r>
              <a:r>
                <a:rPr lang="he-IL" sz="900" b="0" i="0">
                  <a:latin typeface="Cambria Math" panose="02040503050406030204" pitchFamily="18" charset="0"/>
                </a:rPr>
                <a:t>=0.05∗100=5%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3</xdr:col>
      <xdr:colOff>744203</xdr:colOff>
      <xdr:row>163</xdr:row>
      <xdr:rowOff>24268</xdr:rowOff>
    </xdr:from>
    <xdr:to>
      <xdr:col>4</xdr:col>
      <xdr:colOff>64713</xdr:colOff>
      <xdr:row>164</xdr:row>
      <xdr:rowOff>88981</xdr:rowOff>
    </xdr:to>
    <xdr:sp macro="" textlink="">
      <xdr:nvSpPr>
        <xdr:cNvPr id="188" name="Down Arrow 187">
          <a:extLst>
            <a:ext uri="{FF2B5EF4-FFF2-40B4-BE49-F238E27FC236}">
              <a16:creationId xmlns:a16="http://schemas.microsoft.com/office/drawing/2014/main" id="{DAA6D16C-1039-6CC7-3690-65D48F0E7274}"/>
            </a:ext>
          </a:extLst>
        </xdr:cNvPr>
        <xdr:cNvSpPr/>
      </xdr:nvSpPr>
      <xdr:spPr>
        <a:xfrm>
          <a:off x="13515000255" y="33011911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679489</xdr:colOff>
      <xdr:row>164</xdr:row>
      <xdr:rowOff>106472</xdr:rowOff>
    </xdr:from>
    <xdr:ext cx="3348919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0B4E51CC-DFAC-7CB3-5627-BDDCD7F6C787}"/>
                </a:ext>
              </a:extLst>
            </xdr:cNvPr>
            <xdr:cNvSpPr txBox="1"/>
          </xdr:nvSpPr>
          <xdr:spPr>
            <a:xfrm>
              <a:off x="13513511846" y="33296345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%=</m:t>
                    </m:r>
                    <m:sSup>
                      <m:sSup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9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9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900" b="0" i="1">
                        <a:latin typeface="Cambria Math" panose="02040503050406030204" pitchFamily="18" charset="0"/>
                      </a:rPr>
                      <m:t>=0.030301∗100=3.0301%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0B4E51CC-DFAC-7CB3-5627-BDDCD7F6C787}"/>
                </a:ext>
              </a:extLst>
            </xdr:cNvPr>
            <xdr:cNvSpPr txBox="1"/>
          </xdr:nvSpPr>
          <xdr:spPr>
            <a:xfrm>
              <a:off x="13513511846" y="33296345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𝐼%=(1+</a:t>
              </a:r>
              <a:r>
                <a:rPr lang="he-IL" sz="900" b="0" i="0">
                  <a:latin typeface="Cambria Math" panose="02040503050406030204" pitchFamily="18" charset="0"/>
                </a:rPr>
                <a:t>12.6825%</a:t>
              </a:r>
              <a:r>
                <a:rPr lang="en-US" sz="900" b="0" i="0">
                  <a:latin typeface="Cambria Math" panose="02040503050406030204" pitchFamily="18" charset="0"/>
                </a:rPr>
                <a:t>)^(</a:t>
              </a:r>
              <a:r>
                <a:rPr lang="he-IL" sz="900" b="0" i="0">
                  <a:latin typeface="Cambria Math" panose="02040503050406030204" pitchFamily="18" charset="0"/>
                </a:rPr>
                <a:t>1/4</a:t>
              </a:r>
              <a:r>
                <a:rPr lang="en-US" sz="900" b="0" i="0">
                  <a:latin typeface="Cambria Math" panose="02040503050406030204" pitchFamily="18" charset="0"/>
                </a:rPr>
                <a:t>)−1</a:t>
              </a:r>
              <a:r>
                <a:rPr lang="he-IL" sz="900" b="0" i="0">
                  <a:latin typeface="Cambria Math" panose="02040503050406030204" pitchFamily="18" charset="0"/>
                </a:rPr>
                <a:t>=0.030301∗100=3.0301%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1</xdr:col>
      <xdr:colOff>497482</xdr:colOff>
      <xdr:row>162</xdr:row>
      <xdr:rowOff>76848</xdr:rowOff>
    </xdr:from>
    <xdr:to>
      <xdr:col>1</xdr:col>
      <xdr:colOff>643087</xdr:colOff>
      <xdr:row>163</xdr:row>
      <xdr:rowOff>141562</xdr:rowOff>
    </xdr:to>
    <xdr:sp macro="" textlink="">
      <xdr:nvSpPr>
        <xdr:cNvPr id="190" name="Down Arrow 189">
          <a:extLst>
            <a:ext uri="{FF2B5EF4-FFF2-40B4-BE49-F238E27FC236}">
              <a16:creationId xmlns:a16="http://schemas.microsoft.com/office/drawing/2014/main" id="{6259D52F-7488-96E2-B9BD-B15C79D93AD6}"/>
            </a:ext>
          </a:extLst>
        </xdr:cNvPr>
        <xdr:cNvSpPr/>
      </xdr:nvSpPr>
      <xdr:spPr>
        <a:xfrm rot="18911764">
          <a:off x="13516897167" y="32862262"/>
          <a:ext cx="145605" cy="26694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163</xdr:row>
      <xdr:rowOff>45804</xdr:rowOff>
    </xdr:from>
    <xdr:ext cx="3348919" cy="2073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5CC7EBD9-D9AA-55AC-A10B-F4B424AA2096}"/>
                </a:ext>
              </a:extLst>
            </xdr:cNvPr>
            <xdr:cNvSpPr txBox="1"/>
          </xdr:nvSpPr>
          <xdr:spPr>
            <a:xfrm>
              <a:off x="13515016431" y="33033447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9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9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he-IL" sz="900" b="0" i="1">
                        <a:latin typeface="Cambria Math" panose="02040503050406030204" pitchFamily="18" charset="0"/>
                      </a:rPr>
                      <m:t>−1=0.01∗100=1%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5CC7EBD9-D9AA-55AC-A10B-F4B424AA2096}"/>
                </a:ext>
              </a:extLst>
            </xdr:cNvPr>
            <xdr:cNvSpPr txBox="1"/>
          </xdr:nvSpPr>
          <xdr:spPr>
            <a:xfrm>
              <a:off x="13515016431" y="33033447"/>
              <a:ext cx="3348919" cy="2073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900" b="0" i="0">
                  <a:latin typeface="Cambria Math" panose="02040503050406030204" pitchFamily="18" charset="0"/>
                </a:rPr>
                <a:t>(1+12.6825%)^(1/12)−1=0.01∗100=1%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3</xdr:col>
      <xdr:colOff>664308</xdr:colOff>
      <xdr:row>174</xdr:row>
      <xdr:rowOff>132862</xdr:rowOff>
    </xdr:from>
    <xdr:to>
      <xdr:col>4</xdr:col>
      <xdr:colOff>46893</xdr:colOff>
      <xdr:row>176</xdr:row>
      <xdr:rowOff>39077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4AE86832-3B4A-3447-A01A-3EB85C552B9F}"/>
            </a:ext>
          </a:extLst>
        </xdr:cNvPr>
        <xdr:cNvCxnSpPr/>
      </xdr:nvCxnSpPr>
      <xdr:spPr>
        <a:xfrm flipH="1" flipV="1">
          <a:off x="13534978107" y="27824561"/>
          <a:ext cx="208899" cy="32547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664308</xdr:colOff>
      <xdr:row>174</xdr:row>
      <xdr:rowOff>132862</xdr:rowOff>
    </xdr:from>
    <xdr:to>
      <xdr:col>3</xdr:col>
      <xdr:colOff>46893</xdr:colOff>
      <xdr:row>176</xdr:row>
      <xdr:rowOff>39077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536222CD-BA68-5B4C-9E7D-4DE7ADB0D6DD}"/>
            </a:ext>
          </a:extLst>
        </xdr:cNvPr>
        <xdr:cNvCxnSpPr/>
      </xdr:nvCxnSpPr>
      <xdr:spPr>
        <a:xfrm flipH="1" flipV="1">
          <a:off x="13535804421" y="27824561"/>
          <a:ext cx="208899" cy="325478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0</xdr:colOff>
      <xdr:row>175</xdr:row>
      <xdr:rowOff>87814</xdr:rowOff>
    </xdr:from>
    <xdr:to>
      <xdr:col>9</xdr:col>
      <xdr:colOff>561585</xdr:colOff>
      <xdr:row>182</xdr:row>
      <xdr:rowOff>11056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4F25DC4F-9E14-9743-8690-048215149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52050775" y="35918938"/>
          <a:ext cx="1389225" cy="1354965"/>
        </a:xfrm>
        <a:prstGeom prst="rect">
          <a:avLst/>
        </a:prstGeom>
      </xdr:spPr>
    </xdr:pic>
    <xdr:clientData/>
  </xdr:twoCellAnchor>
  <xdr:twoCellAnchor>
    <xdr:from>
      <xdr:col>8</xdr:col>
      <xdr:colOff>93496</xdr:colOff>
      <xdr:row>175</xdr:row>
      <xdr:rowOff>0</xdr:rowOff>
    </xdr:from>
    <xdr:to>
      <xdr:col>9</xdr:col>
      <xdr:colOff>371843</xdr:colOff>
      <xdr:row>183</xdr:row>
      <xdr:rowOff>154042</xdr:rowOff>
    </xdr:to>
    <xdr:sp macro="" textlink="">
      <xdr:nvSpPr>
        <xdr:cNvPr id="195" name="Freeform 194">
          <a:extLst>
            <a:ext uri="{FF2B5EF4-FFF2-40B4-BE49-F238E27FC236}">
              <a16:creationId xmlns:a16="http://schemas.microsoft.com/office/drawing/2014/main" id="{FEAF3B2E-9579-104F-BCED-A6B19C516402}"/>
            </a:ext>
          </a:extLst>
        </xdr:cNvPr>
        <xdr:cNvSpPr/>
      </xdr:nvSpPr>
      <xdr:spPr>
        <a:xfrm>
          <a:off x="13552240517" y="35831124"/>
          <a:ext cx="1105987" cy="1790296"/>
        </a:xfrm>
        <a:custGeom>
          <a:avLst/>
          <a:gdLst>
            <a:gd name="connsiteX0" fmla="*/ 432423 w 1102485"/>
            <a:gd name="connsiteY0" fmla="*/ 85859 h 1329303"/>
            <a:gd name="connsiteX1" fmla="*/ 409049 w 1102485"/>
            <a:gd name="connsiteY1" fmla="*/ 105338 h 1329303"/>
            <a:gd name="connsiteX2" fmla="*/ 366196 w 1102485"/>
            <a:gd name="connsiteY2" fmla="*/ 132607 h 1329303"/>
            <a:gd name="connsiteX3" fmla="*/ 346718 w 1102485"/>
            <a:gd name="connsiteY3" fmla="*/ 152086 h 1329303"/>
            <a:gd name="connsiteX4" fmla="*/ 327239 w 1102485"/>
            <a:gd name="connsiteY4" fmla="*/ 167669 h 1329303"/>
            <a:gd name="connsiteX5" fmla="*/ 303865 w 1102485"/>
            <a:gd name="connsiteY5" fmla="*/ 194939 h 1329303"/>
            <a:gd name="connsiteX6" fmla="*/ 292178 w 1102485"/>
            <a:gd name="connsiteY6" fmla="*/ 202730 h 1329303"/>
            <a:gd name="connsiteX7" fmla="*/ 276595 w 1102485"/>
            <a:gd name="connsiteY7" fmla="*/ 218313 h 1329303"/>
            <a:gd name="connsiteX8" fmla="*/ 245430 w 1102485"/>
            <a:gd name="connsiteY8" fmla="*/ 249479 h 1329303"/>
            <a:gd name="connsiteX9" fmla="*/ 229847 w 1102485"/>
            <a:gd name="connsiteY9" fmla="*/ 265061 h 1329303"/>
            <a:gd name="connsiteX10" fmla="*/ 202577 w 1102485"/>
            <a:gd name="connsiteY10" fmla="*/ 307914 h 1329303"/>
            <a:gd name="connsiteX11" fmla="*/ 186994 w 1102485"/>
            <a:gd name="connsiteY11" fmla="*/ 331288 h 1329303"/>
            <a:gd name="connsiteX12" fmla="*/ 179203 w 1102485"/>
            <a:gd name="connsiteY12" fmla="*/ 342976 h 1329303"/>
            <a:gd name="connsiteX13" fmla="*/ 163620 w 1102485"/>
            <a:gd name="connsiteY13" fmla="*/ 366350 h 1329303"/>
            <a:gd name="connsiteX14" fmla="*/ 151933 w 1102485"/>
            <a:gd name="connsiteY14" fmla="*/ 393620 h 1329303"/>
            <a:gd name="connsiteX15" fmla="*/ 140246 w 1102485"/>
            <a:gd name="connsiteY15" fmla="*/ 424785 h 1329303"/>
            <a:gd name="connsiteX16" fmla="*/ 112976 w 1102485"/>
            <a:gd name="connsiteY16" fmla="*/ 491012 h 1329303"/>
            <a:gd name="connsiteX17" fmla="*/ 105184 w 1102485"/>
            <a:gd name="connsiteY17" fmla="*/ 526074 h 1329303"/>
            <a:gd name="connsiteX18" fmla="*/ 89601 w 1102485"/>
            <a:gd name="connsiteY18" fmla="*/ 600092 h 1329303"/>
            <a:gd name="connsiteX19" fmla="*/ 85706 w 1102485"/>
            <a:gd name="connsiteY19" fmla="*/ 642945 h 1329303"/>
            <a:gd name="connsiteX20" fmla="*/ 89601 w 1102485"/>
            <a:gd name="connsiteY20" fmla="*/ 884479 h 1329303"/>
            <a:gd name="connsiteX21" fmla="*/ 93497 w 1102485"/>
            <a:gd name="connsiteY21" fmla="*/ 896166 h 1329303"/>
            <a:gd name="connsiteX22" fmla="*/ 109080 w 1102485"/>
            <a:gd name="connsiteY22" fmla="*/ 942914 h 1329303"/>
            <a:gd name="connsiteX23" fmla="*/ 116871 w 1102485"/>
            <a:gd name="connsiteY23" fmla="*/ 966288 h 1329303"/>
            <a:gd name="connsiteX24" fmla="*/ 124663 w 1102485"/>
            <a:gd name="connsiteY24" fmla="*/ 985767 h 1329303"/>
            <a:gd name="connsiteX25" fmla="*/ 132454 w 1102485"/>
            <a:gd name="connsiteY25" fmla="*/ 1016933 h 1329303"/>
            <a:gd name="connsiteX26" fmla="*/ 136350 w 1102485"/>
            <a:gd name="connsiteY26" fmla="*/ 1028620 h 1329303"/>
            <a:gd name="connsiteX27" fmla="*/ 144141 w 1102485"/>
            <a:gd name="connsiteY27" fmla="*/ 1059785 h 1329303"/>
            <a:gd name="connsiteX28" fmla="*/ 148037 w 1102485"/>
            <a:gd name="connsiteY28" fmla="*/ 1079264 h 1329303"/>
            <a:gd name="connsiteX29" fmla="*/ 155828 w 1102485"/>
            <a:gd name="connsiteY29" fmla="*/ 1102638 h 1329303"/>
            <a:gd name="connsiteX30" fmla="*/ 171411 w 1102485"/>
            <a:gd name="connsiteY30" fmla="*/ 1126012 h 1329303"/>
            <a:gd name="connsiteX31" fmla="*/ 186994 w 1102485"/>
            <a:gd name="connsiteY31" fmla="*/ 1149387 h 1329303"/>
            <a:gd name="connsiteX32" fmla="*/ 190890 w 1102485"/>
            <a:gd name="connsiteY32" fmla="*/ 1161074 h 1329303"/>
            <a:gd name="connsiteX33" fmla="*/ 218160 w 1102485"/>
            <a:gd name="connsiteY33" fmla="*/ 1207822 h 1329303"/>
            <a:gd name="connsiteX34" fmla="*/ 225951 w 1102485"/>
            <a:gd name="connsiteY34" fmla="*/ 1215614 h 1329303"/>
            <a:gd name="connsiteX35" fmla="*/ 237638 w 1102485"/>
            <a:gd name="connsiteY35" fmla="*/ 1223405 h 1329303"/>
            <a:gd name="connsiteX36" fmla="*/ 225951 w 1102485"/>
            <a:gd name="connsiteY36" fmla="*/ 1200031 h 1329303"/>
            <a:gd name="connsiteX37" fmla="*/ 198681 w 1102485"/>
            <a:gd name="connsiteY37" fmla="*/ 1168865 h 1329303"/>
            <a:gd name="connsiteX38" fmla="*/ 159724 w 1102485"/>
            <a:gd name="connsiteY38" fmla="*/ 1083160 h 1329303"/>
            <a:gd name="connsiteX39" fmla="*/ 144141 w 1102485"/>
            <a:gd name="connsiteY39" fmla="*/ 1044203 h 1329303"/>
            <a:gd name="connsiteX40" fmla="*/ 128558 w 1102485"/>
            <a:gd name="connsiteY40" fmla="*/ 1016933 h 1329303"/>
            <a:gd name="connsiteX41" fmla="*/ 97393 w 1102485"/>
            <a:gd name="connsiteY41" fmla="*/ 935123 h 1329303"/>
            <a:gd name="connsiteX42" fmla="*/ 97393 w 1102485"/>
            <a:gd name="connsiteY42" fmla="*/ 701381 h 1329303"/>
            <a:gd name="connsiteX43" fmla="*/ 101289 w 1102485"/>
            <a:gd name="connsiteY43" fmla="*/ 678006 h 1329303"/>
            <a:gd name="connsiteX44" fmla="*/ 109080 w 1102485"/>
            <a:gd name="connsiteY44" fmla="*/ 646841 h 1329303"/>
            <a:gd name="connsiteX45" fmla="*/ 132454 w 1102485"/>
            <a:gd name="connsiteY45" fmla="*/ 584509 h 1329303"/>
            <a:gd name="connsiteX46" fmla="*/ 148037 w 1102485"/>
            <a:gd name="connsiteY46" fmla="*/ 518282 h 1329303"/>
            <a:gd name="connsiteX47" fmla="*/ 183098 w 1102485"/>
            <a:gd name="connsiteY47" fmla="*/ 432577 h 1329303"/>
            <a:gd name="connsiteX48" fmla="*/ 222055 w 1102485"/>
            <a:gd name="connsiteY48" fmla="*/ 358558 h 1329303"/>
            <a:gd name="connsiteX49" fmla="*/ 299969 w 1102485"/>
            <a:gd name="connsiteY49" fmla="*/ 257270 h 1329303"/>
            <a:gd name="connsiteX50" fmla="*/ 346718 w 1102485"/>
            <a:gd name="connsiteY50" fmla="*/ 210522 h 1329303"/>
            <a:gd name="connsiteX51" fmla="*/ 362301 w 1102485"/>
            <a:gd name="connsiteY51" fmla="*/ 202730 h 1329303"/>
            <a:gd name="connsiteX52" fmla="*/ 385675 w 1102485"/>
            <a:gd name="connsiteY52" fmla="*/ 194939 h 1329303"/>
            <a:gd name="connsiteX53" fmla="*/ 405154 w 1102485"/>
            <a:gd name="connsiteY53" fmla="*/ 179356 h 1329303"/>
            <a:gd name="connsiteX54" fmla="*/ 420736 w 1102485"/>
            <a:gd name="connsiteY54" fmla="*/ 167669 h 1329303"/>
            <a:gd name="connsiteX55" fmla="*/ 448006 w 1102485"/>
            <a:gd name="connsiteY55" fmla="*/ 140399 h 1329303"/>
            <a:gd name="connsiteX56" fmla="*/ 475276 w 1102485"/>
            <a:gd name="connsiteY56" fmla="*/ 120920 h 1329303"/>
            <a:gd name="connsiteX57" fmla="*/ 486963 w 1102485"/>
            <a:gd name="connsiteY57" fmla="*/ 117025 h 1329303"/>
            <a:gd name="connsiteX58" fmla="*/ 467485 w 1102485"/>
            <a:gd name="connsiteY58" fmla="*/ 124816 h 1329303"/>
            <a:gd name="connsiteX59" fmla="*/ 440215 w 1102485"/>
            <a:gd name="connsiteY59" fmla="*/ 148190 h 1329303"/>
            <a:gd name="connsiteX60" fmla="*/ 385675 w 1102485"/>
            <a:gd name="connsiteY60" fmla="*/ 194939 h 1329303"/>
            <a:gd name="connsiteX61" fmla="*/ 350614 w 1102485"/>
            <a:gd name="connsiteY61" fmla="*/ 230000 h 1329303"/>
            <a:gd name="connsiteX62" fmla="*/ 299969 w 1102485"/>
            <a:gd name="connsiteY62" fmla="*/ 300123 h 1329303"/>
            <a:gd name="connsiteX63" fmla="*/ 284387 w 1102485"/>
            <a:gd name="connsiteY63" fmla="*/ 331288 h 1329303"/>
            <a:gd name="connsiteX64" fmla="*/ 272700 w 1102485"/>
            <a:gd name="connsiteY64" fmla="*/ 362454 h 1329303"/>
            <a:gd name="connsiteX65" fmla="*/ 249325 w 1102485"/>
            <a:gd name="connsiteY65" fmla="*/ 444264 h 1329303"/>
            <a:gd name="connsiteX66" fmla="*/ 233742 w 1102485"/>
            <a:gd name="connsiteY66" fmla="*/ 533865 h 1329303"/>
            <a:gd name="connsiteX67" fmla="*/ 222055 w 1102485"/>
            <a:gd name="connsiteY67" fmla="*/ 678006 h 1329303"/>
            <a:gd name="connsiteX68" fmla="*/ 214264 w 1102485"/>
            <a:gd name="connsiteY68" fmla="*/ 759816 h 1329303"/>
            <a:gd name="connsiteX69" fmla="*/ 206473 w 1102485"/>
            <a:gd name="connsiteY69" fmla="*/ 853313 h 1329303"/>
            <a:gd name="connsiteX70" fmla="*/ 202577 w 1102485"/>
            <a:gd name="connsiteY70" fmla="*/ 907853 h 1329303"/>
            <a:gd name="connsiteX71" fmla="*/ 198681 w 1102485"/>
            <a:gd name="connsiteY71" fmla="*/ 946810 h 1329303"/>
            <a:gd name="connsiteX72" fmla="*/ 202577 w 1102485"/>
            <a:gd name="connsiteY72" fmla="*/ 1075368 h 1329303"/>
            <a:gd name="connsiteX73" fmla="*/ 210368 w 1102485"/>
            <a:gd name="connsiteY73" fmla="*/ 1114325 h 1329303"/>
            <a:gd name="connsiteX74" fmla="*/ 261012 w 1102485"/>
            <a:gd name="connsiteY74" fmla="*/ 1250675 h 1329303"/>
            <a:gd name="connsiteX75" fmla="*/ 276595 w 1102485"/>
            <a:gd name="connsiteY75" fmla="*/ 1281841 h 1329303"/>
            <a:gd name="connsiteX76" fmla="*/ 296074 w 1102485"/>
            <a:gd name="connsiteY76" fmla="*/ 1301319 h 1329303"/>
            <a:gd name="connsiteX77" fmla="*/ 315552 w 1102485"/>
            <a:gd name="connsiteY77" fmla="*/ 1305215 h 1329303"/>
            <a:gd name="connsiteX78" fmla="*/ 296074 w 1102485"/>
            <a:gd name="connsiteY78" fmla="*/ 1285736 h 1329303"/>
            <a:gd name="connsiteX79" fmla="*/ 218160 w 1102485"/>
            <a:gd name="connsiteY79" fmla="*/ 1200031 h 1329303"/>
            <a:gd name="connsiteX80" fmla="*/ 155828 w 1102485"/>
            <a:gd name="connsiteY80" fmla="*/ 1059785 h 1329303"/>
            <a:gd name="connsiteX81" fmla="*/ 120767 w 1102485"/>
            <a:gd name="connsiteY81" fmla="*/ 861104 h 1329303"/>
            <a:gd name="connsiteX82" fmla="*/ 109080 w 1102485"/>
            <a:gd name="connsiteY82" fmla="*/ 693589 h 1329303"/>
            <a:gd name="connsiteX83" fmla="*/ 116871 w 1102485"/>
            <a:gd name="connsiteY83" fmla="*/ 561135 h 1329303"/>
            <a:gd name="connsiteX84" fmla="*/ 148037 w 1102485"/>
            <a:gd name="connsiteY84" fmla="*/ 463742 h 1329303"/>
            <a:gd name="connsiteX85" fmla="*/ 163620 w 1102485"/>
            <a:gd name="connsiteY85" fmla="*/ 432577 h 1329303"/>
            <a:gd name="connsiteX86" fmla="*/ 171411 w 1102485"/>
            <a:gd name="connsiteY86" fmla="*/ 409203 h 1329303"/>
            <a:gd name="connsiteX87" fmla="*/ 190890 w 1102485"/>
            <a:gd name="connsiteY87" fmla="*/ 350767 h 1329303"/>
            <a:gd name="connsiteX88" fmla="*/ 261012 w 1102485"/>
            <a:gd name="connsiteY88" fmla="*/ 222209 h 1329303"/>
            <a:gd name="connsiteX89" fmla="*/ 299969 w 1102485"/>
            <a:gd name="connsiteY89" fmla="*/ 167669 h 1329303"/>
            <a:gd name="connsiteX90" fmla="*/ 323344 w 1102485"/>
            <a:gd name="connsiteY90" fmla="*/ 148190 h 1329303"/>
            <a:gd name="connsiteX91" fmla="*/ 354509 w 1102485"/>
            <a:gd name="connsiteY91" fmla="*/ 140399 h 1329303"/>
            <a:gd name="connsiteX92" fmla="*/ 405154 w 1102485"/>
            <a:gd name="connsiteY92" fmla="*/ 132607 h 1329303"/>
            <a:gd name="connsiteX93" fmla="*/ 420736 w 1102485"/>
            <a:gd name="connsiteY93" fmla="*/ 124816 h 1329303"/>
            <a:gd name="connsiteX94" fmla="*/ 432423 w 1102485"/>
            <a:gd name="connsiteY94" fmla="*/ 120920 h 1329303"/>
            <a:gd name="connsiteX95" fmla="*/ 397362 w 1102485"/>
            <a:gd name="connsiteY95" fmla="*/ 152086 h 1329303"/>
            <a:gd name="connsiteX96" fmla="*/ 362301 w 1102485"/>
            <a:gd name="connsiteY96" fmla="*/ 187147 h 1329303"/>
            <a:gd name="connsiteX97" fmla="*/ 253221 w 1102485"/>
            <a:gd name="connsiteY97" fmla="*/ 319601 h 1329303"/>
            <a:gd name="connsiteX98" fmla="*/ 190890 w 1102485"/>
            <a:gd name="connsiteY98" fmla="*/ 416994 h 1329303"/>
            <a:gd name="connsiteX99" fmla="*/ 151933 w 1102485"/>
            <a:gd name="connsiteY99" fmla="*/ 498804 h 1329303"/>
            <a:gd name="connsiteX100" fmla="*/ 136350 w 1102485"/>
            <a:gd name="connsiteY100" fmla="*/ 537761 h 1329303"/>
            <a:gd name="connsiteX101" fmla="*/ 105184 w 1102485"/>
            <a:gd name="connsiteY101" fmla="*/ 639049 h 1329303"/>
            <a:gd name="connsiteX102" fmla="*/ 93497 w 1102485"/>
            <a:gd name="connsiteY102" fmla="*/ 681902 h 1329303"/>
            <a:gd name="connsiteX103" fmla="*/ 89601 w 1102485"/>
            <a:gd name="connsiteY103" fmla="*/ 709172 h 1329303"/>
            <a:gd name="connsiteX104" fmla="*/ 85706 w 1102485"/>
            <a:gd name="connsiteY104" fmla="*/ 732546 h 1329303"/>
            <a:gd name="connsiteX105" fmla="*/ 81810 w 1102485"/>
            <a:gd name="connsiteY105" fmla="*/ 783190 h 1329303"/>
            <a:gd name="connsiteX106" fmla="*/ 77914 w 1102485"/>
            <a:gd name="connsiteY106" fmla="*/ 806565 h 1329303"/>
            <a:gd name="connsiteX107" fmla="*/ 85706 w 1102485"/>
            <a:gd name="connsiteY107" fmla="*/ 931227 h 1329303"/>
            <a:gd name="connsiteX108" fmla="*/ 93497 w 1102485"/>
            <a:gd name="connsiteY108" fmla="*/ 950706 h 1329303"/>
            <a:gd name="connsiteX109" fmla="*/ 132454 w 1102485"/>
            <a:gd name="connsiteY109" fmla="*/ 1005246 h 1329303"/>
            <a:gd name="connsiteX110" fmla="*/ 148037 w 1102485"/>
            <a:gd name="connsiteY110" fmla="*/ 1024724 h 1329303"/>
            <a:gd name="connsiteX111" fmla="*/ 155828 w 1102485"/>
            <a:gd name="connsiteY111" fmla="*/ 1036411 h 1329303"/>
            <a:gd name="connsiteX112" fmla="*/ 167516 w 1102485"/>
            <a:gd name="connsiteY112" fmla="*/ 1044203 h 1329303"/>
            <a:gd name="connsiteX113" fmla="*/ 194785 w 1102485"/>
            <a:gd name="connsiteY113" fmla="*/ 1059785 h 1329303"/>
            <a:gd name="connsiteX114" fmla="*/ 233742 w 1102485"/>
            <a:gd name="connsiteY114" fmla="*/ 1090951 h 1329303"/>
            <a:gd name="connsiteX115" fmla="*/ 261012 w 1102485"/>
            <a:gd name="connsiteY115" fmla="*/ 1110430 h 1329303"/>
            <a:gd name="connsiteX116" fmla="*/ 307761 w 1102485"/>
            <a:gd name="connsiteY116" fmla="*/ 1149387 h 1329303"/>
            <a:gd name="connsiteX117" fmla="*/ 338927 w 1102485"/>
            <a:gd name="connsiteY117" fmla="*/ 1176657 h 1329303"/>
            <a:gd name="connsiteX118" fmla="*/ 350614 w 1102485"/>
            <a:gd name="connsiteY118" fmla="*/ 1180552 h 1329303"/>
            <a:gd name="connsiteX119" fmla="*/ 288282 w 1102485"/>
            <a:gd name="connsiteY119" fmla="*/ 1067577 h 1329303"/>
            <a:gd name="connsiteX120" fmla="*/ 268804 w 1102485"/>
            <a:gd name="connsiteY120" fmla="*/ 1032515 h 1329303"/>
            <a:gd name="connsiteX121" fmla="*/ 233742 w 1102485"/>
            <a:gd name="connsiteY121" fmla="*/ 977976 h 1329303"/>
            <a:gd name="connsiteX122" fmla="*/ 225951 w 1102485"/>
            <a:gd name="connsiteY122" fmla="*/ 954601 h 1329303"/>
            <a:gd name="connsiteX123" fmla="*/ 218160 w 1102485"/>
            <a:gd name="connsiteY123" fmla="*/ 896166 h 1329303"/>
            <a:gd name="connsiteX124" fmla="*/ 202577 w 1102485"/>
            <a:gd name="connsiteY124" fmla="*/ 798773 h 1329303"/>
            <a:gd name="connsiteX125" fmla="*/ 190890 w 1102485"/>
            <a:gd name="connsiteY125" fmla="*/ 752025 h 1329303"/>
            <a:gd name="connsiteX126" fmla="*/ 179203 w 1102485"/>
            <a:gd name="connsiteY126" fmla="*/ 689693 h 1329303"/>
            <a:gd name="connsiteX127" fmla="*/ 183098 w 1102485"/>
            <a:gd name="connsiteY127" fmla="*/ 483221 h 1329303"/>
            <a:gd name="connsiteX128" fmla="*/ 202577 w 1102485"/>
            <a:gd name="connsiteY128" fmla="*/ 362454 h 1329303"/>
            <a:gd name="connsiteX129" fmla="*/ 214264 w 1102485"/>
            <a:gd name="connsiteY129" fmla="*/ 311810 h 1329303"/>
            <a:gd name="connsiteX130" fmla="*/ 225951 w 1102485"/>
            <a:gd name="connsiteY130" fmla="*/ 276749 h 1329303"/>
            <a:gd name="connsiteX131" fmla="*/ 249325 w 1102485"/>
            <a:gd name="connsiteY131" fmla="*/ 226104 h 1329303"/>
            <a:gd name="connsiteX132" fmla="*/ 280491 w 1102485"/>
            <a:gd name="connsiteY132" fmla="*/ 194939 h 1329303"/>
            <a:gd name="connsiteX133" fmla="*/ 299969 w 1102485"/>
            <a:gd name="connsiteY133" fmla="*/ 175460 h 1329303"/>
            <a:gd name="connsiteX134" fmla="*/ 319448 w 1102485"/>
            <a:gd name="connsiteY134" fmla="*/ 159877 h 1329303"/>
            <a:gd name="connsiteX135" fmla="*/ 335031 w 1102485"/>
            <a:gd name="connsiteY135" fmla="*/ 144295 h 1329303"/>
            <a:gd name="connsiteX136" fmla="*/ 346718 w 1102485"/>
            <a:gd name="connsiteY136" fmla="*/ 136503 h 1329303"/>
            <a:gd name="connsiteX137" fmla="*/ 370092 w 1102485"/>
            <a:gd name="connsiteY137" fmla="*/ 113129 h 1329303"/>
            <a:gd name="connsiteX138" fmla="*/ 393466 w 1102485"/>
            <a:gd name="connsiteY138" fmla="*/ 89755 h 1329303"/>
            <a:gd name="connsiteX139" fmla="*/ 436319 w 1102485"/>
            <a:gd name="connsiteY139" fmla="*/ 46902 h 1329303"/>
            <a:gd name="connsiteX140" fmla="*/ 448006 w 1102485"/>
            <a:gd name="connsiteY140" fmla="*/ 35215 h 1329303"/>
            <a:gd name="connsiteX141" fmla="*/ 455798 w 1102485"/>
            <a:gd name="connsiteY141" fmla="*/ 27423 h 1329303"/>
            <a:gd name="connsiteX142" fmla="*/ 451902 w 1102485"/>
            <a:gd name="connsiteY142" fmla="*/ 43006 h 1329303"/>
            <a:gd name="connsiteX143" fmla="*/ 440215 w 1102485"/>
            <a:gd name="connsiteY143" fmla="*/ 50798 h 1329303"/>
            <a:gd name="connsiteX144" fmla="*/ 432423 w 1102485"/>
            <a:gd name="connsiteY144" fmla="*/ 58589 h 1329303"/>
            <a:gd name="connsiteX145" fmla="*/ 424632 w 1102485"/>
            <a:gd name="connsiteY145" fmla="*/ 70276 h 1329303"/>
            <a:gd name="connsiteX146" fmla="*/ 412945 w 1102485"/>
            <a:gd name="connsiteY146" fmla="*/ 85859 h 1329303"/>
            <a:gd name="connsiteX147" fmla="*/ 405154 w 1102485"/>
            <a:gd name="connsiteY147" fmla="*/ 101442 h 1329303"/>
            <a:gd name="connsiteX148" fmla="*/ 397362 w 1102485"/>
            <a:gd name="connsiteY148" fmla="*/ 113129 h 1329303"/>
            <a:gd name="connsiteX149" fmla="*/ 389571 w 1102485"/>
            <a:gd name="connsiteY149" fmla="*/ 128712 h 1329303"/>
            <a:gd name="connsiteX150" fmla="*/ 377884 w 1102485"/>
            <a:gd name="connsiteY150" fmla="*/ 144295 h 1329303"/>
            <a:gd name="connsiteX151" fmla="*/ 370092 w 1102485"/>
            <a:gd name="connsiteY151" fmla="*/ 163773 h 1329303"/>
            <a:gd name="connsiteX152" fmla="*/ 358405 w 1102485"/>
            <a:gd name="connsiteY152" fmla="*/ 183252 h 1329303"/>
            <a:gd name="connsiteX153" fmla="*/ 342822 w 1102485"/>
            <a:gd name="connsiteY153" fmla="*/ 206626 h 1329303"/>
            <a:gd name="connsiteX154" fmla="*/ 315552 w 1102485"/>
            <a:gd name="connsiteY154" fmla="*/ 276749 h 1329303"/>
            <a:gd name="connsiteX155" fmla="*/ 296074 w 1102485"/>
            <a:gd name="connsiteY155" fmla="*/ 311810 h 1329303"/>
            <a:gd name="connsiteX156" fmla="*/ 268804 w 1102485"/>
            <a:gd name="connsiteY156" fmla="*/ 389724 h 1329303"/>
            <a:gd name="connsiteX157" fmla="*/ 257117 w 1102485"/>
            <a:gd name="connsiteY157" fmla="*/ 436473 h 1329303"/>
            <a:gd name="connsiteX158" fmla="*/ 233742 w 1102485"/>
            <a:gd name="connsiteY158" fmla="*/ 537761 h 1329303"/>
            <a:gd name="connsiteX159" fmla="*/ 225951 w 1102485"/>
            <a:gd name="connsiteY159" fmla="*/ 631258 h 1329303"/>
            <a:gd name="connsiteX160" fmla="*/ 222055 w 1102485"/>
            <a:gd name="connsiteY160" fmla="*/ 674111 h 1329303"/>
            <a:gd name="connsiteX161" fmla="*/ 225951 w 1102485"/>
            <a:gd name="connsiteY161" fmla="*/ 946810 h 1329303"/>
            <a:gd name="connsiteX162" fmla="*/ 233742 w 1102485"/>
            <a:gd name="connsiteY162" fmla="*/ 985767 h 1329303"/>
            <a:gd name="connsiteX163" fmla="*/ 241534 w 1102485"/>
            <a:gd name="connsiteY163" fmla="*/ 1055890 h 1329303"/>
            <a:gd name="connsiteX164" fmla="*/ 249325 w 1102485"/>
            <a:gd name="connsiteY164" fmla="*/ 1090951 h 1329303"/>
            <a:gd name="connsiteX165" fmla="*/ 257117 w 1102485"/>
            <a:gd name="connsiteY165" fmla="*/ 1110430 h 1329303"/>
            <a:gd name="connsiteX166" fmla="*/ 261012 w 1102485"/>
            <a:gd name="connsiteY166" fmla="*/ 1122117 h 1329303"/>
            <a:gd name="connsiteX167" fmla="*/ 264908 w 1102485"/>
            <a:gd name="connsiteY167" fmla="*/ 1137700 h 1329303"/>
            <a:gd name="connsiteX168" fmla="*/ 276595 w 1102485"/>
            <a:gd name="connsiteY168" fmla="*/ 1153282 h 1329303"/>
            <a:gd name="connsiteX169" fmla="*/ 288282 w 1102485"/>
            <a:gd name="connsiteY169" fmla="*/ 1172761 h 1329303"/>
            <a:gd name="connsiteX170" fmla="*/ 315552 w 1102485"/>
            <a:gd name="connsiteY170" fmla="*/ 1211718 h 1329303"/>
            <a:gd name="connsiteX171" fmla="*/ 335031 w 1102485"/>
            <a:gd name="connsiteY171" fmla="*/ 1231196 h 1329303"/>
            <a:gd name="connsiteX172" fmla="*/ 315552 w 1102485"/>
            <a:gd name="connsiteY172" fmla="*/ 1227301 h 1329303"/>
            <a:gd name="connsiteX173" fmla="*/ 303865 w 1102485"/>
            <a:gd name="connsiteY173" fmla="*/ 1219509 h 1329303"/>
            <a:gd name="connsiteX174" fmla="*/ 288282 w 1102485"/>
            <a:gd name="connsiteY174" fmla="*/ 1211718 h 1329303"/>
            <a:gd name="connsiteX175" fmla="*/ 264908 w 1102485"/>
            <a:gd name="connsiteY175" fmla="*/ 1192239 h 1329303"/>
            <a:gd name="connsiteX176" fmla="*/ 218160 w 1102485"/>
            <a:gd name="connsiteY176" fmla="*/ 1141595 h 1329303"/>
            <a:gd name="connsiteX177" fmla="*/ 190890 w 1102485"/>
            <a:gd name="connsiteY177" fmla="*/ 1106534 h 1329303"/>
            <a:gd name="connsiteX178" fmla="*/ 148037 w 1102485"/>
            <a:gd name="connsiteY178" fmla="*/ 997454 h 1329303"/>
            <a:gd name="connsiteX179" fmla="*/ 120767 w 1102485"/>
            <a:gd name="connsiteY179" fmla="*/ 876687 h 1329303"/>
            <a:gd name="connsiteX180" fmla="*/ 112976 w 1102485"/>
            <a:gd name="connsiteY180" fmla="*/ 829939 h 1329303"/>
            <a:gd name="connsiteX181" fmla="*/ 109080 w 1102485"/>
            <a:gd name="connsiteY181" fmla="*/ 790982 h 1329303"/>
            <a:gd name="connsiteX182" fmla="*/ 101289 w 1102485"/>
            <a:gd name="connsiteY182" fmla="*/ 755920 h 1329303"/>
            <a:gd name="connsiteX183" fmla="*/ 93497 w 1102485"/>
            <a:gd name="connsiteY183" fmla="*/ 584509 h 1329303"/>
            <a:gd name="connsiteX184" fmla="*/ 105184 w 1102485"/>
            <a:gd name="connsiteY184" fmla="*/ 448160 h 1329303"/>
            <a:gd name="connsiteX185" fmla="*/ 120767 w 1102485"/>
            <a:gd name="connsiteY185" fmla="*/ 385828 h 1329303"/>
            <a:gd name="connsiteX186" fmla="*/ 190890 w 1102485"/>
            <a:gd name="connsiteY186" fmla="*/ 230000 h 1329303"/>
            <a:gd name="connsiteX187" fmla="*/ 245430 w 1102485"/>
            <a:gd name="connsiteY187" fmla="*/ 140399 h 1329303"/>
            <a:gd name="connsiteX188" fmla="*/ 264908 w 1102485"/>
            <a:gd name="connsiteY188" fmla="*/ 105338 h 1329303"/>
            <a:gd name="connsiteX189" fmla="*/ 276595 w 1102485"/>
            <a:gd name="connsiteY189" fmla="*/ 85859 h 1329303"/>
            <a:gd name="connsiteX190" fmla="*/ 284387 w 1102485"/>
            <a:gd name="connsiteY190" fmla="*/ 78068 h 1329303"/>
            <a:gd name="connsiteX191" fmla="*/ 292178 w 1102485"/>
            <a:gd name="connsiteY191" fmla="*/ 66381 h 1329303"/>
            <a:gd name="connsiteX192" fmla="*/ 315552 w 1102485"/>
            <a:gd name="connsiteY192" fmla="*/ 62485 h 1329303"/>
            <a:gd name="connsiteX193" fmla="*/ 366196 w 1102485"/>
            <a:gd name="connsiteY193" fmla="*/ 58589 h 1329303"/>
            <a:gd name="connsiteX194" fmla="*/ 393466 w 1102485"/>
            <a:gd name="connsiteY194" fmla="*/ 62485 h 1329303"/>
            <a:gd name="connsiteX195" fmla="*/ 381779 w 1102485"/>
            <a:gd name="connsiteY195" fmla="*/ 70276 h 1329303"/>
            <a:gd name="connsiteX196" fmla="*/ 358405 w 1102485"/>
            <a:gd name="connsiteY196" fmla="*/ 93650 h 1329303"/>
            <a:gd name="connsiteX197" fmla="*/ 335031 w 1102485"/>
            <a:gd name="connsiteY197" fmla="*/ 109233 h 1329303"/>
            <a:gd name="connsiteX198" fmla="*/ 319448 w 1102485"/>
            <a:gd name="connsiteY198" fmla="*/ 117025 h 1329303"/>
            <a:gd name="connsiteX199" fmla="*/ 307761 w 1102485"/>
            <a:gd name="connsiteY199" fmla="*/ 128712 h 1329303"/>
            <a:gd name="connsiteX200" fmla="*/ 264908 w 1102485"/>
            <a:gd name="connsiteY200" fmla="*/ 167669 h 1329303"/>
            <a:gd name="connsiteX201" fmla="*/ 229847 w 1102485"/>
            <a:gd name="connsiteY201" fmla="*/ 214417 h 1329303"/>
            <a:gd name="connsiteX202" fmla="*/ 214264 w 1102485"/>
            <a:gd name="connsiteY202" fmla="*/ 237792 h 1329303"/>
            <a:gd name="connsiteX203" fmla="*/ 206473 w 1102485"/>
            <a:gd name="connsiteY203" fmla="*/ 261166 h 1329303"/>
            <a:gd name="connsiteX204" fmla="*/ 198681 w 1102485"/>
            <a:gd name="connsiteY204" fmla="*/ 280644 h 1329303"/>
            <a:gd name="connsiteX205" fmla="*/ 194785 w 1102485"/>
            <a:gd name="connsiteY205" fmla="*/ 300123 h 1329303"/>
            <a:gd name="connsiteX206" fmla="*/ 186994 w 1102485"/>
            <a:gd name="connsiteY206" fmla="*/ 350767 h 1329303"/>
            <a:gd name="connsiteX207" fmla="*/ 179203 w 1102485"/>
            <a:gd name="connsiteY207" fmla="*/ 397515 h 1329303"/>
            <a:gd name="connsiteX208" fmla="*/ 167516 w 1102485"/>
            <a:gd name="connsiteY208" fmla="*/ 452055 h 1329303"/>
            <a:gd name="connsiteX209" fmla="*/ 151933 w 1102485"/>
            <a:gd name="connsiteY209" fmla="*/ 557239 h 1329303"/>
            <a:gd name="connsiteX210" fmla="*/ 155828 w 1102485"/>
            <a:gd name="connsiteY210" fmla="*/ 779295 h 1329303"/>
            <a:gd name="connsiteX211" fmla="*/ 171411 w 1102485"/>
            <a:gd name="connsiteY211" fmla="*/ 826043 h 1329303"/>
            <a:gd name="connsiteX212" fmla="*/ 179203 w 1102485"/>
            <a:gd name="connsiteY212" fmla="*/ 849417 h 1329303"/>
            <a:gd name="connsiteX213" fmla="*/ 183098 w 1102485"/>
            <a:gd name="connsiteY213" fmla="*/ 865000 h 1329303"/>
            <a:gd name="connsiteX214" fmla="*/ 198681 w 1102485"/>
            <a:gd name="connsiteY214" fmla="*/ 888374 h 1329303"/>
            <a:gd name="connsiteX215" fmla="*/ 202577 w 1102485"/>
            <a:gd name="connsiteY215" fmla="*/ 900061 h 1329303"/>
            <a:gd name="connsiteX216" fmla="*/ 206473 w 1102485"/>
            <a:gd name="connsiteY216" fmla="*/ 915644 h 1329303"/>
            <a:gd name="connsiteX217" fmla="*/ 214264 w 1102485"/>
            <a:gd name="connsiteY217" fmla="*/ 935123 h 1329303"/>
            <a:gd name="connsiteX218" fmla="*/ 218160 w 1102485"/>
            <a:gd name="connsiteY218" fmla="*/ 950706 h 1329303"/>
            <a:gd name="connsiteX219" fmla="*/ 225951 w 1102485"/>
            <a:gd name="connsiteY219" fmla="*/ 974080 h 1329303"/>
            <a:gd name="connsiteX220" fmla="*/ 249325 w 1102485"/>
            <a:gd name="connsiteY220" fmla="*/ 1001350 h 1329303"/>
            <a:gd name="connsiteX221" fmla="*/ 257117 w 1102485"/>
            <a:gd name="connsiteY221" fmla="*/ 1009141 h 1329303"/>
            <a:gd name="connsiteX222" fmla="*/ 272700 w 1102485"/>
            <a:gd name="connsiteY222" fmla="*/ 1028620 h 1329303"/>
            <a:gd name="connsiteX223" fmla="*/ 268804 w 1102485"/>
            <a:gd name="connsiteY223" fmla="*/ 1016933 h 1329303"/>
            <a:gd name="connsiteX224" fmla="*/ 257117 w 1102485"/>
            <a:gd name="connsiteY224" fmla="*/ 1009141 h 1329303"/>
            <a:gd name="connsiteX225" fmla="*/ 249325 w 1102485"/>
            <a:gd name="connsiteY225" fmla="*/ 1001350 h 1329303"/>
            <a:gd name="connsiteX226" fmla="*/ 245430 w 1102485"/>
            <a:gd name="connsiteY226" fmla="*/ 989663 h 1329303"/>
            <a:gd name="connsiteX227" fmla="*/ 237638 w 1102485"/>
            <a:gd name="connsiteY227" fmla="*/ 977976 h 1329303"/>
            <a:gd name="connsiteX228" fmla="*/ 206473 w 1102485"/>
            <a:gd name="connsiteY228" fmla="*/ 935123 h 1329303"/>
            <a:gd name="connsiteX229" fmla="*/ 179203 w 1102485"/>
            <a:gd name="connsiteY229" fmla="*/ 892270 h 1329303"/>
            <a:gd name="connsiteX230" fmla="*/ 151933 w 1102485"/>
            <a:gd name="connsiteY230" fmla="*/ 833834 h 1329303"/>
            <a:gd name="connsiteX231" fmla="*/ 109080 w 1102485"/>
            <a:gd name="connsiteY231" fmla="*/ 662423 h 1329303"/>
            <a:gd name="connsiteX232" fmla="*/ 105184 w 1102485"/>
            <a:gd name="connsiteY232" fmla="*/ 576718 h 1329303"/>
            <a:gd name="connsiteX233" fmla="*/ 97393 w 1102485"/>
            <a:gd name="connsiteY233" fmla="*/ 487117 h 1329303"/>
            <a:gd name="connsiteX234" fmla="*/ 109080 w 1102485"/>
            <a:gd name="connsiteY234" fmla="*/ 315706 h 1329303"/>
            <a:gd name="connsiteX235" fmla="*/ 124663 w 1102485"/>
            <a:gd name="connsiteY235" fmla="*/ 265061 h 1329303"/>
            <a:gd name="connsiteX236" fmla="*/ 198681 w 1102485"/>
            <a:gd name="connsiteY236" fmla="*/ 120920 h 1329303"/>
            <a:gd name="connsiteX237" fmla="*/ 237638 w 1102485"/>
            <a:gd name="connsiteY237" fmla="*/ 74172 h 1329303"/>
            <a:gd name="connsiteX238" fmla="*/ 257117 w 1102485"/>
            <a:gd name="connsiteY238" fmla="*/ 50798 h 1329303"/>
            <a:gd name="connsiteX239" fmla="*/ 272700 w 1102485"/>
            <a:gd name="connsiteY239" fmla="*/ 31319 h 1329303"/>
            <a:gd name="connsiteX240" fmla="*/ 284387 w 1102485"/>
            <a:gd name="connsiteY240" fmla="*/ 19632 h 1329303"/>
            <a:gd name="connsiteX241" fmla="*/ 296074 w 1102485"/>
            <a:gd name="connsiteY241" fmla="*/ 154 h 1329303"/>
            <a:gd name="connsiteX242" fmla="*/ 299969 w 1102485"/>
            <a:gd name="connsiteY242" fmla="*/ 11841 h 1329303"/>
            <a:gd name="connsiteX243" fmla="*/ 296074 w 1102485"/>
            <a:gd name="connsiteY243" fmla="*/ 27423 h 1329303"/>
            <a:gd name="connsiteX244" fmla="*/ 272700 w 1102485"/>
            <a:gd name="connsiteY244" fmla="*/ 58589 h 1329303"/>
            <a:gd name="connsiteX245" fmla="*/ 261012 w 1102485"/>
            <a:gd name="connsiteY245" fmla="*/ 74172 h 1329303"/>
            <a:gd name="connsiteX246" fmla="*/ 245430 w 1102485"/>
            <a:gd name="connsiteY246" fmla="*/ 113129 h 1329303"/>
            <a:gd name="connsiteX247" fmla="*/ 214264 w 1102485"/>
            <a:gd name="connsiteY247" fmla="*/ 191043 h 1329303"/>
            <a:gd name="connsiteX248" fmla="*/ 190890 w 1102485"/>
            <a:gd name="connsiteY248" fmla="*/ 249479 h 1329303"/>
            <a:gd name="connsiteX249" fmla="*/ 183098 w 1102485"/>
            <a:gd name="connsiteY249" fmla="*/ 315706 h 1329303"/>
            <a:gd name="connsiteX250" fmla="*/ 171411 w 1102485"/>
            <a:gd name="connsiteY250" fmla="*/ 374141 h 1329303"/>
            <a:gd name="connsiteX251" fmla="*/ 167516 w 1102485"/>
            <a:gd name="connsiteY251" fmla="*/ 397515 h 1329303"/>
            <a:gd name="connsiteX252" fmla="*/ 155828 w 1102485"/>
            <a:gd name="connsiteY252" fmla="*/ 494908 h 1329303"/>
            <a:gd name="connsiteX253" fmla="*/ 136350 w 1102485"/>
            <a:gd name="connsiteY253" fmla="*/ 615675 h 1329303"/>
            <a:gd name="connsiteX254" fmla="*/ 140246 w 1102485"/>
            <a:gd name="connsiteY254" fmla="*/ 709172 h 1329303"/>
            <a:gd name="connsiteX255" fmla="*/ 144141 w 1102485"/>
            <a:gd name="connsiteY255" fmla="*/ 740338 h 1329303"/>
            <a:gd name="connsiteX256" fmla="*/ 151933 w 1102485"/>
            <a:gd name="connsiteY256" fmla="*/ 763712 h 1329303"/>
            <a:gd name="connsiteX257" fmla="*/ 140246 w 1102485"/>
            <a:gd name="connsiteY257" fmla="*/ 759816 h 1329303"/>
            <a:gd name="connsiteX258" fmla="*/ 132454 w 1102485"/>
            <a:gd name="connsiteY258" fmla="*/ 779295 h 1329303"/>
            <a:gd name="connsiteX259" fmla="*/ 35062 w 1102485"/>
            <a:gd name="connsiteY259" fmla="*/ 993558 h 1329303"/>
            <a:gd name="connsiteX260" fmla="*/ 19479 w 1102485"/>
            <a:gd name="connsiteY260" fmla="*/ 1048098 h 1329303"/>
            <a:gd name="connsiteX261" fmla="*/ 15583 w 1102485"/>
            <a:gd name="connsiteY261" fmla="*/ 1059785 h 1329303"/>
            <a:gd name="connsiteX262" fmla="*/ 11687 w 1102485"/>
            <a:gd name="connsiteY262" fmla="*/ 1277945 h 1329303"/>
            <a:gd name="connsiteX263" fmla="*/ 3896 w 1102485"/>
            <a:gd name="connsiteY263" fmla="*/ 1289632 h 1329303"/>
            <a:gd name="connsiteX264" fmla="*/ 7792 w 1102485"/>
            <a:gd name="connsiteY264" fmla="*/ 1274049 h 1329303"/>
            <a:gd name="connsiteX265" fmla="*/ 23374 w 1102485"/>
            <a:gd name="connsiteY265" fmla="*/ 1180552 h 1329303"/>
            <a:gd name="connsiteX266" fmla="*/ 54540 w 1102485"/>
            <a:gd name="connsiteY266" fmla="*/ 1090951 h 1329303"/>
            <a:gd name="connsiteX267" fmla="*/ 93497 w 1102485"/>
            <a:gd name="connsiteY267" fmla="*/ 1009141 h 1329303"/>
            <a:gd name="connsiteX268" fmla="*/ 151933 w 1102485"/>
            <a:gd name="connsiteY268" fmla="*/ 903957 h 1329303"/>
            <a:gd name="connsiteX269" fmla="*/ 183098 w 1102485"/>
            <a:gd name="connsiteY269" fmla="*/ 829939 h 1329303"/>
            <a:gd name="connsiteX270" fmla="*/ 194785 w 1102485"/>
            <a:gd name="connsiteY270" fmla="*/ 794877 h 1329303"/>
            <a:gd name="connsiteX271" fmla="*/ 198681 w 1102485"/>
            <a:gd name="connsiteY271" fmla="*/ 779295 h 1329303"/>
            <a:gd name="connsiteX272" fmla="*/ 179203 w 1102485"/>
            <a:gd name="connsiteY272" fmla="*/ 802669 h 1329303"/>
            <a:gd name="connsiteX273" fmla="*/ 124663 w 1102485"/>
            <a:gd name="connsiteY273" fmla="*/ 907853 h 1329303"/>
            <a:gd name="connsiteX274" fmla="*/ 35062 w 1102485"/>
            <a:gd name="connsiteY274" fmla="*/ 1133804 h 1329303"/>
            <a:gd name="connsiteX275" fmla="*/ 19479 w 1102485"/>
            <a:gd name="connsiteY275" fmla="*/ 1192239 h 1329303"/>
            <a:gd name="connsiteX276" fmla="*/ 0 w 1102485"/>
            <a:gd name="connsiteY276" fmla="*/ 1274049 h 1329303"/>
            <a:gd name="connsiteX277" fmla="*/ 11687 w 1102485"/>
            <a:gd name="connsiteY277" fmla="*/ 1051994 h 1329303"/>
            <a:gd name="connsiteX278" fmla="*/ 38957 w 1102485"/>
            <a:gd name="connsiteY278" fmla="*/ 974080 h 1329303"/>
            <a:gd name="connsiteX279" fmla="*/ 58436 w 1102485"/>
            <a:gd name="connsiteY279" fmla="*/ 927331 h 1329303"/>
            <a:gd name="connsiteX280" fmla="*/ 77914 w 1102485"/>
            <a:gd name="connsiteY280" fmla="*/ 868896 h 1329303"/>
            <a:gd name="connsiteX281" fmla="*/ 85706 w 1102485"/>
            <a:gd name="connsiteY281" fmla="*/ 822147 h 1329303"/>
            <a:gd name="connsiteX282" fmla="*/ 97393 w 1102485"/>
            <a:gd name="connsiteY282" fmla="*/ 806565 h 1329303"/>
            <a:gd name="connsiteX283" fmla="*/ 128558 w 1102485"/>
            <a:gd name="connsiteY283" fmla="*/ 759816 h 1329303"/>
            <a:gd name="connsiteX284" fmla="*/ 136350 w 1102485"/>
            <a:gd name="connsiteY284" fmla="*/ 748129 h 1329303"/>
            <a:gd name="connsiteX285" fmla="*/ 144141 w 1102485"/>
            <a:gd name="connsiteY285" fmla="*/ 732546 h 1329303"/>
            <a:gd name="connsiteX286" fmla="*/ 148037 w 1102485"/>
            <a:gd name="connsiteY286" fmla="*/ 716963 h 1329303"/>
            <a:gd name="connsiteX287" fmla="*/ 155828 w 1102485"/>
            <a:gd name="connsiteY287" fmla="*/ 693589 h 1329303"/>
            <a:gd name="connsiteX288" fmla="*/ 167516 w 1102485"/>
            <a:gd name="connsiteY288" fmla="*/ 666319 h 1329303"/>
            <a:gd name="connsiteX289" fmla="*/ 186994 w 1102485"/>
            <a:gd name="connsiteY289" fmla="*/ 631258 h 1329303"/>
            <a:gd name="connsiteX290" fmla="*/ 194785 w 1102485"/>
            <a:gd name="connsiteY290" fmla="*/ 607884 h 1329303"/>
            <a:gd name="connsiteX291" fmla="*/ 194785 w 1102485"/>
            <a:gd name="connsiteY291" fmla="*/ 576718 h 1329303"/>
            <a:gd name="connsiteX292" fmla="*/ 202577 w 1102485"/>
            <a:gd name="connsiteY292" fmla="*/ 479325 h 1329303"/>
            <a:gd name="connsiteX293" fmla="*/ 241534 w 1102485"/>
            <a:gd name="connsiteY293" fmla="*/ 323497 h 1329303"/>
            <a:gd name="connsiteX294" fmla="*/ 261012 w 1102485"/>
            <a:gd name="connsiteY294" fmla="*/ 249479 h 1329303"/>
            <a:gd name="connsiteX295" fmla="*/ 272700 w 1102485"/>
            <a:gd name="connsiteY295" fmla="*/ 214417 h 1329303"/>
            <a:gd name="connsiteX296" fmla="*/ 280491 w 1102485"/>
            <a:gd name="connsiteY296" fmla="*/ 187147 h 1329303"/>
            <a:gd name="connsiteX297" fmla="*/ 303865 w 1102485"/>
            <a:gd name="connsiteY297" fmla="*/ 163773 h 1329303"/>
            <a:gd name="connsiteX298" fmla="*/ 323344 w 1102485"/>
            <a:gd name="connsiteY298" fmla="*/ 140399 h 1329303"/>
            <a:gd name="connsiteX299" fmla="*/ 331135 w 1102485"/>
            <a:gd name="connsiteY299" fmla="*/ 163773 h 1329303"/>
            <a:gd name="connsiteX300" fmla="*/ 354509 w 1102485"/>
            <a:gd name="connsiteY300" fmla="*/ 179356 h 1329303"/>
            <a:gd name="connsiteX301" fmla="*/ 373988 w 1102485"/>
            <a:gd name="connsiteY301" fmla="*/ 191043 h 1329303"/>
            <a:gd name="connsiteX302" fmla="*/ 436319 w 1102485"/>
            <a:gd name="connsiteY302" fmla="*/ 230000 h 1329303"/>
            <a:gd name="connsiteX303" fmla="*/ 510338 w 1102485"/>
            <a:gd name="connsiteY303" fmla="*/ 249479 h 1329303"/>
            <a:gd name="connsiteX304" fmla="*/ 525920 w 1102485"/>
            <a:gd name="connsiteY304" fmla="*/ 257270 h 1329303"/>
            <a:gd name="connsiteX305" fmla="*/ 514233 w 1102485"/>
            <a:gd name="connsiteY305" fmla="*/ 249479 h 1329303"/>
            <a:gd name="connsiteX306" fmla="*/ 498650 w 1102485"/>
            <a:gd name="connsiteY306" fmla="*/ 253374 h 1329303"/>
            <a:gd name="connsiteX307" fmla="*/ 510338 w 1102485"/>
            <a:gd name="connsiteY307" fmla="*/ 214417 h 1329303"/>
            <a:gd name="connsiteX308" fmla="*/ 545399 w 1102485"/>
            <a:gd name="connsiteY308" fmla="*/ 194939 h 1329303"/>
            <a:gd name="connsiteX309" fmla="*/ 576565 w 1102485"/>
            <a:gd name="connsiteY309" fmla="*/ 187147 h 1329303"/>
            <a:gd name="connsiteX310" fmla="*/ 627209 w 1102485"/>
            <a:gd name="connsiteY310" fmla="*/ 179356 h 1329303"/>
            <a:gd name="connsiteX311" fmla="*/ 677853 w 1102485"/>
            <a:gd name="connsiteY311" fmla="*/ 183252 h 1329303"/>
            <a:gd name="connsiteX312" fmla="*/ 666166 w 1102485"/>
            <a:gd name="connsiteY312" fmla="*/ 198834 h 1329303"/>
            <a:gd name="connsiteX313" fmla="*/ 619417 w 1102485"/>
            <a:gd name="connsiteY313" fmla="*/ 237792 h 1329303"/>
            <a:gd name="connsiteX314" fmla="*/ 564877 w 1102485"/>
            <a:gd name="connsiteY314" fmla="*/ 284540 h 1329303"/>
            <a:gd name="connsiteX315" fmla="*/ 506442 w 1102485"/>
            <a:gd name="connsiteY315" fmla="*/ 304019 h 1329303"/>
            <a:gd name="connsiteX316" fmla="*/ 459693 w 1102485"/>
            <a:gd name="connsiteY316" fmla="*/ 296227 h 1329303"/>
            <a:gd name="connsiteX317" fmla="*/ 451902 w 1102485"/>
            <a:gd name="connsiteY317" fmla="*/ 280644 h 1329303"/>
            <a:gd name="connsiteX318" fmla="*/ 494755 w 1102485"/>
            <a:gd name="connsiteY318" fmla="*/ 202730 h 1329303"/>
            <a:gd name="connsiteX319" fmla="*/ 553190 w 1102485"/>
            <a:gd name="connsiteY319" fmla="*/ 144295 h 1329303"/>
            <a:gd name="connsiteX320" fmla="*/ 580460 w 1102485"/>
            <a:gd name="connsiteY320" fmla="*/ 132607 h 1329303"/>
            <a:gd name="connsiteX321" fmla="*/ 627209 w 1102485"/>
            <a:gd name="connsiteY321" fmla="*/ 124816 h 1329303"/>
            <a:gd name="connsiteX322" fmla="*/ 662270 w 1102485"/>
            <a:gd name="connsiteY322" fmla="*/ 117025 h 1329303"/>
            <a:gd name="connsiteX323" fmla="*/ 670062 w 1102485"/>
            <a:gd name="connsiteY323" fmla="*/ 124816 h 1329303"/>
            <a:gd name="connsiteX324" fmla="*/ 670062 w 1102485"/>
            <a:gd name="connsiteY324" fmla="*/ 163773 h 1329303"/>
            <a:gd name="connsiteX325" fmla="*/ 658374 w 1102485"/>
            <a:gd name="connsiteY325" fmla="*/ 171565 h 1329303"/>
            <a:gd name="connsiteX326" fmla="*/ 580460 w 1102485"/>
            <a:gd name="connsiteY326" fmla="*/ 226104 h 1329303"/>
            <a:gd name="connsiteX327" fmla="*/ 444111 w 1102485"/>
            <a:gd name="connsiteY327" fmla="*/ 276749 h 1329303"/>
            <a:gd name="connsiteX328" fmla="*/ 370092 w 1102485"/>
            <a:gd name="connsiteY328" fmla="*/ 296227 h 1329303"/>
            <a:gd name="connsiteX329" fmla="*/ 299969 w 1102485"/>
            <a:gd name="connsiteY329" fmla="*/ 300123 h 1329303"/>
            <a:gd name="connsiteX330" fmla="*/ 214264 w 1102485"/>
            <a:gd name="connsiteY330" fmla="*/ 292331 h 1329303"/>
            <a:gd name="connsiteX331" fmla="*/ 206473 w 1102485"/>
            <a:gd name="connsiteY331" fmla="*/ 276749 h 1329303"/>
            <a:gd name="connsiteX332" fmla="*/ 214264 w 1102485"/>
            <a:gd name="connsiteY332" fmla="*/ 257270 h 1329303"/>
            <a:gd name="connsiteX333" fmla="*/ 253221 w 1102485"/>
            <a:gd name="connsiteY333" fmla="*/ 241687 h 1329303"/>
            <a:gd name="connsiteX334" fmla="*/ 335031 w 1102485"/>
            <a:gd name="connsiteY334" fmla="*/ 226104 h 1329303"/>
            <a:gd name="connsiteX335" fmla="*/ 440215 w 1102485"/>
            <a:gd name="connsiteY335" fmla="*/ 218313 h 1329303"/>
            <a:gd name="connsiteX336" fmla="*/ 529816 w 1102485"/>
            <a:gd name="connsiteY336" fmla="*/ 222209 h 1329303"/>
            <a:gd name="connsiteX337" fmla="*/ 619417 w 1102485"/>
            <a:gd name="connsiteY337" fmla="*/ 249479 h 1329303"/>
            <a:gd name="connsiteX338" fmla="*/ 646687 w 1102485"/>
            <a:gd name="connsiteY338" fmla="*/ 257270 h 1329303"/>
            <a:gd name="connsiteX339" fmla="*/ 654479 w 1102485"/>
            <a:gd name="connsiteY339" fmla="*/ 265061 h 1329303"/>
            <a:gd name="connsiteX340" fmla="*/ 666166 w 1102485"/>
            <a:gd name="connsiteY340" fmla="*/ 272853 h 1329303"/>
            <a:gd name="connsiteX341" fmla="*/ 662270 w 1102485"/>
            <a:gd name="connsiteY341" fmla="*/ 284540 h 1329303"/>
            <a:gd name="connsiteX342" fmla="*/ 506442 w 1102485"/>
            <a:gd name="connsiteY342" fmla="*/ 292331 h 1329303"/>
            <a:gd name="connsiteX343" fmla="*/ 370092 w 1102485"/>
            <a:gd name="connsiteY343" fmla="*/ 331288 h 1329303"/>
            <a:gd name="connsiteX344" fmla="*/ 264908 w 1102485"/>
            <a:gd name="connsiteY344" fmla="*/ 366350 h 1329303"/>
            <a:gd name="connsiteX345" fmla="*/ 81810 w 1102485"/>
            <a:gd name="connsiteY345" fmla="*/ 397515 h 1329303"/>
            <a:gd name="connsiteX346" fmla="*/ 54540 w 1102485"/>
            <a:gd name="connsiteY346" fmla="*/ 378037 h 1329303"/>
            <a:gd name="connsiteX347" fmla="*/ 77914 w 1102485"/>
            <a:gd name="connsiteY347" fmla="*/ 370246 h 1329303"/>
            <a:gd name="connsiteX348" fmla="*/ 93497 w 1102485"/>
            <a:gd name="connsiteY348" fmla="*/ 362454 h 1329303"/>
            <a:gd name="connsiteX349" fmla="*/ 116871 w 1102485"/>
            <a:gd name="connsiteY349" fmla="*/ 354663 h 1329303"/>
            <a:gd name="connsiteX350" fmla="*/ 194785 w 1102485"/>
            <a:gd name="connsiteY350" fmla="*/ 331288 h 1329303"/>
            <a:gd name="connsiteX351" fmla="*/ 338927 w 1102485"/>
            <a:gd name="connsiteY351" fmla="*/ 304019 h 1329303"/>
            <a:gd name="connsiteX352" fmla="*/ 514233 w 1102485"/>
            <a:gd name="connsiteY352" fmla="*/ 272853 h 1329303"/>
            <a:gd name="connsiteX353" fmla="*/ 588252 w 1102485"/>
            <a:gd name="connsiteY353" fmla="*/ 261166 h 1329303"/>
            <a:gd name="connsiteX354" fmla="*/ 654479 w 1102485"/>
            <a:gd name="connsiteY354" fmla="*/ 257270 h 1329303"/>
            <a:gd name="connsiteX355" fmla="*/ 712914 w 1102485"/>
            <a:gd name="connsiteY355" fmla="*/ 253374 h 1329303"/>
            <a:gd name="connsiteX356" fmla="*/ 794724 w 1102485"/>
            <a:gd name="connsiteY356" fmla="*/ 257270 h 1329303"/>
            <a:gd name="connsiteX357" fmla="*/ 802516 w 1102485"/>
            <a:gd name="connsiteY357" fmla="*/ 265061 h 1329303"/>
            <a:gd name="connsiteX358" fmla="*/ 790828 w 1102485"/>
            <a:gd name="connsiteY358" fmla="*/ 261166 h 1329303"/>
            <a:gd name="connsiteX359" fmla="*/ 771350 w 1102485"/>
            <a:gd name="connsiteY359" fmla="*/ 272853 h 1329303"/>
            <a:gd name="connsiteX360" fmla="*/ 705123 w 1102485"/>
            <a:gd name="connsiteY360" fmla="*/ 339080 h 1329303"/>
            <a:gd name="connsiteX361" fmla="*/ 709019 w 1102485"/>
            <a:gd name="connsiteY361" fmla="*/ 335184 h 1329303"/>
            <a:gd name="connsiteX362" fmla="*/ 716810 w 1102485"/>
            <a:gd name="connsiteY362" fmla="*/ 342976 h 1329303"/>
            <a:gd name="connsiteX363" fmla="*/ 728497 w 1102485"/>
            <a:gd name="connsiteY363" fmla="*/ 346871 h 1329303"/>
            <a:gd name="connsiteX364" fmla="*/ 732393 w 1102485"/>
            <a:gd name="connsiteY364" fmla="*/ 374141 h 1329303"/>
            <a:gd name="connsiteX365" fmla="*/ 755767 w 1102485"/>
            <a:gd name="connsiteY365" fmla="*/ 405307 h 1329303"/>
            <a:gd name="connsiteX366" fmla="*/ 810307 w 1102485"/>
            <a:gd name="connsiteY366" fmla="*/ 475430 h 1329303"/>
            <a:gd name="connsiteX367" fmla="*/ 837577 w 1102485"/>
            <a:gd name="connsiteY367" fmla="*/ 533865 h 1329303"/>
            <a:gd name="connsiteX368" fmla="*/ 849264 w 1102485"/>
            <a:gd name="connsiteY368" fmla="*/ 580614 h 1329303"/>
            <a:gd name="connsiteX369" fmla="*/ 853160 w 1102485"/>
            <a:gd name="connsiteY369" fmla="*/ 592301 h 1329303"/>
            <a:gd name="connsiteX370" fmla="*/ 857055 w 1102485"/>
            <a:gd name="connsiteY370" fmla="*/ 639049 h 1329303"/>
            <a:gd name="connsiteX371" fmla="*/ 860951 w 1102485"/>
            <a:gd name="connsiteY371" fmla="*/ 697485 h 1329303"/>
            <a:gd name="connsiteX372" fmla="*/ 864847 w 1102485"/>
            <a:gd name="connsiteY372" fmla="*/ 740338 h 1329303"/>
            <a:gd name="connsiteX373" fmla="*/ 860951 w 1102485"/>
            <a:gd name="connsiteY373" fmla="*/ 724755 h 1329303"/>
            <a:gd name="connsiteX374" fmla="*/ 868742 w 1102485"/>
            <a:gd name="connsiteY374" fmla="*/ 736442 h 1329303"/>
            <a:gd name="connsiteX375" fmla="*/ 872638 w 1102485"/>
            <a:gd name="connsiteY375" fmla="*/ 763712 h 1329303"/>
            <a:gd name="connsiteX376" fmla="*/ 880430 w 1102485"/>
            <a:gd name="connsiteY376" fmla="*/ 810460 h 1329303"/>
            <a:gd name="connsiteX377" fmla="*/ 884325 w 1102485"/>
            <a:gd name="connsiteY377" fmla="*/ 837730 h 1329303"/>
            <a:gd name="connsiteX378" fmla="*/ 899908 w 1102485"/>
            <a:gd name="connsiteY378" fmla="*/ 896166 h 1329303"/>
            <a:gd name="connsiteX379" fmla="*/ 907700 w 1102485"/>
            <a:gd name="connsiteY379" fmla="*/ 888374 h 1329303"/>
            <a:gd name="connsiteX380" fmla="*/ 911595 w 1102485"/>
            <a:gd name="connsiteY380" fmla="*/ 876687 h 1329303"/>
            <a:gd name="connsiteX381" fmla="*/ 915491 w 1102485"/>
            <a:gd name="connsiteY381" fmla="*/ 1098742 h 1329303"/>
            <a:gd name="connsiteX382" fmla="*/ 919387 w 1102485"/>
            <a:gd name="connsiteY382" fmla="*/ 1122117 h 1329303"/>
            <a:gd name="connsiteX383" fmla="*/ 923282 w 1102485"/>
            <a:gd name="connsiteY383" fmla="*/ 1157178 h 1329303"/>
            <a:gd name="connsiteX384" fmla="*/ 934969 w 1102485"/>
            <a:gd name="connsiteY384" fmla="*/ 1207822 h 1329303"/>
            <a:gd name="connsiteX385" fmla="*/ 938865 w 1102485"/>
            <a:gd name="connsiteY385" fmla="*/ 1005246 h 1329303"/>
            <a:gd name="connsiteX386" fmla="*/ 946657 w 1102485"/>
            <a:gd name="connsiteY386" fmla="*/ 966288 h 1329303"/>
            <a:gd name="connsiteX387" fmla="*/ 942761 w 1102485"/>
            <a:gd name="connsiteY387" fmla="*/ 814356 h 1329303"/>
            <a:gd name="connsiteX388" fmla="*/ 931074 w 1102485"/>
            <a:gd name="connsiteY388" fmla="*/ 779295 h 1329303"/>
            <a:gd name="connsiteX389" fmla="*/ 923282 w 1102485"/>
            <a:gd name="connsiteY389" fmla="*/ 767607 h 1329303"/>
            <a:gd name="connsiteX390" fmla="*/ 911595 w 1102485"/>
            <a:gd name="connsiteY390" fmla="*/ 728650 h 1329303"/>
            <a:gd name="connsiteX391" fmla="*/ 907700 w 1102485"/>
            <a:gd name="connsiteY391" fmla="*/ 705276 h 1329303"/>
            <a:gd name="connsiteX392" fmla="*/ 899908 w 1102485"/>
            <a:gd name="connsiteY392" fmla="*/ 685798 h 1329303"/>
            <a:gd name="connsiteX393" fmla="*/ 884325 w 1102485"/>
            <a:gd name="connsiteY393" fmla="*/ 658528 h 1329303"/>
            <a:gd name="connsiteX394" fmla="*/ 888221 w 1102485"/>
            <a:gd name="connsiteY394" fmla="*/ 631258 h 1329303"/>
            <a:gd name="connsiteX395" fmla="*/ 892117 w 1102485"/>
            <a:gd name="connsiteY395" fmla="*/ 646841 h 1329303"/>
            <a:gd name="connsiteX396" fmla="*/ 896012 w 1102485"/>
            <a:gd name="connsiteY396" fmla="*/ 627362 h 1329303"/>
            <a:gd name="connsiteX397" fmla="*/ 888221 w 1102485"/>
            <a:gd name="connsiteY397" fmla="*/ 432577 h 1329303"/>
            <a:gd name="connsiteX398" fmla="*/ 845368 w 1102485"/>
            <a:gd name="connsiteY398" fmla="*/ 331288 h 1329303"/>
            <a:gd name="connsiteX399" fmla="*/ 818098 w 1102485"/>
            <a:gd name="connsiteY399" fmla="*/ 272853 h 1329303"/>
            <a:gd name="connsiteX400" fmla="*/ 806411 w 1102485"/>
            <a:gd name="connsiteY400" fmla="*/ 218313 h 1329303"/>
            <a:gd name="connsiteX401" fmla="*/ 798620 w 1102485"/>
            <a:gd name="connsiteY401" fmla="*/ 230000 h 1329303"/>
            <a:gd name="connsiteX402" fmla="*/ 783037 w 1102485"/>
            <a:gd name="connsiteY402" fmla="*/ 261166 h 1329303"/>
            <a:gd name="connsiteX403" fmla="*/ 783037 w 1102485"/>
            <a:gd name="connsiteY403" fmla="*/ 335184 h 1329303"/>
            <a:gd name="connsiteX404" fmla="*/ 814203 w 1102485"/>
            <a:gd name="connsiteY404" fmla="*/ 401411 h 1329303"/>
            <a:gd name="connsiteX405" fmla="*/ 868742 w 1102485"/>
            <a:gd name="connsiteY405" fmla="*/ 506595 h 1329303"/>
            <a:gd name="connsiteX406" fmla="*/ 934969 w 1102485"/>
            <a:gd name="connsiteY406" fmla="*/ 642945 h 1329303"/>
            <a:gd name="connsiteX407" fmla="*/ 989509 w 1102485"/>
            <a:gd name="connsiteY407" fmla="*/ 755920 h 1329303"/>
            <a:gd name="connsiteX408" fmla="*/ 1028466 w 1102485"/>
            <a:gd name="connsiteY408" fmla="*/ 849417 h 1329303"/>
            <a:gd name="connsiteX409" fmla="*/ 1040154 w 1102485"/>
            <a:gd name="connsiteY409" fmla="*/ 880583 h 1329303"/>
            <a:gd name="connsiteX410" fmla="*/ 1051841 w 1102485"/>
            <a:gd name="connsiteY410" fmla="*/ 907853 h 1329303"/>
            <a:gd name="connsiteX411" fmla="*/ 1071319 w 1102485"/>
            <a:gd name="connsiteY411" fmla="*/ 974080 h 1329303"/>
            <a:gd name="connsiteX412" fmla="*/ 1083006 w 1102485"/>
            <a:gd name="connsiteY412" fmla="*/ 1024724 h 1329303"/>
            <a:gd name="connsiteX413" fmla="*/ 1086902 w 1102485"/>
            <a:gd name="connsiteY413" fmla="*/ 1055890 h 1329303"/>
            <a:gd name="connsiteX414" fmla="*/ 1090798 w 1102485"/>
            <a:gd name="connsiteY414" fmla="*/ 1071473 h 1329303"/>
            <a:gd name="connsiteX415" fmla="*/ 1102485 w 1102485"/>
            <a:gd name="connsiteY415" fmla="*/ 1137700 h 1329303"/>
            <a:gd name="connsiteX416" fmla="*/ 1036258 w 1102485"/>
            <a:gd name="connsiteY416" fmla="*/ 1141595 h 1329303"/>
            <a:gd name="connsiteX417" fmla="*/ 1032362 w 1102485"/>
            <a:gd name="connsiteY417" fmla="*/ 1126012 h 1329303"/>
            <a:gd name="connsiteX418" fmla="*/ 993405 w 1102485"/>
            <a:gd name="connsiteY418" fmla="*/ 1040307 h 1329303"/>
            <a:gd name="connsiteX419" fmla="*/ 946657 w 1102485"/>
            <a:gd name="connsiteY419" fmla="*/ 911749 h 1329303"/>
            <a:gd name="connsiteX420" fmla="*/ 938865 w 1102485"/>
            <a:gd name="connsiteY420" fmla="*/ 892270 h 1329303"/>
            <a:gd name="connsiteX421" fmla="*/ 927178 w 1102485"/>
            <a:gd name="connsiteY421" fmla="*/ 857209 h 1329303"/>
            <a:gd name="connsiteX422" fmla="*/ 919387 w 1102485"/>
            <a:gd name="connsiteY422" fmla="*/ 724755 h 1329303"/>
            <a:gd name="connsiteX423" fmla="*/ 915491 w 1102485"/>
            <a:gd name="connsiteY423" fmla="*/ 693589 h 1329303"/>
            <a:gd name="connsiteX424" fmla="*/ 923282 w 1102485"/>
            <a:gd name="connsiteY424" fmla="*/ 541657 h 1329303"/>
            <a:gd name="connsiteX425" fmla="*/ 927178 w 1102485"/>
            <a:gd name="connsiteY425" fmla="*/ 529969 h 1329303"/>
            <a:gd name="connsiteX426" fmla="*/ 931074 w 1102485"/>
            <a:gd name="connsiteY426" fmla="*/ 510491 h 1329303"/>
            <a:gd name="connsiteX427" fmla="*/ 927178 w 1102485"/>
            <a:gd name="connsiteY427" fmla="*/ 300123 h 1329303"/>
            <a:gd name="connsiteX428" fmla="*/ 907700 w 1102485"/>
            <a:gd name="connsiteY428" fmla="*/ 194939 h 1329303"/>
            <a:gd name="connsiteX429" fmla="*/ 896012 w 1102485"/>
            <a:gd name="connsiteY429" fmla="*/ 163773 h 1329303"/>
            <a:gd name="connsiteX430" fmla="*/ 880430 w 1102485"/>
            <a:gd name="connsiteY430" fmla="*/ 140399 h 1329303"/>
            <a:gd name="connsiteX431" fmla="*/ 872638 w 1102485"/>
            <a:gd name="connsiteY431" fmla="*/ 120920 h 1329303"/>
            <a:gd name="connsiteX432" fmla="*/ 860951 w 1102485"/>
            <a:gd name="connsiteY432" fmla="*/ 101442 h 1329303"/>
            <a:gd name="connsiteX433" fmla="*/ 845368 w 1102485"/>
            <a:gd name="connsiteY433" fmla="*/ 78068 h 1329303"/>
            <a:gd name="connsiteX434" fmla="*/ 833681 w 1102485"/>
            <a:gd name="connsiteY434" fmla="*/ 74172 h 1329303"/>
            <a:gd name="connsiteX435" fmla="*/ 802516 w 1102485"/>
            <a:gd name="connsiteY435" fmla="*/ 78068 h 1329303"/>
            <a:gd name="connsiteX436" fmla="*/ 786933 w 1102485"/>
            <a:gd name="connsiteY436" fmla="*/ 101442 h 1329303"/>
            <a:gd name="connsiteX437" fmla="*/ 771350 w 1102485"/>
            <a:gd name="connsiteY437" fmla="*/ 117025 h 1329303"/>
            <a:gd name="connsiteX438" fmla="*/ 755767 w 1102485"/>
            <a:gd name="connsiteY438" fmla="*/ 140399 h 1329303"/>
            <a:gd name="connsiteX439" fmla="*/ 747976 w 1102485"/>
            <a:gd name="connsiteY439" fmla="*/ 152086 h 1329303"/>
            <a:gd name="connsiteX440" fmla="*/ 740184 w 1102485"/>
            <a:gd name="connsiteY440" fmla="*/ 159877 h 1329303"/>
            <a:gd name="connsiteX441" fmla="*/ 751871 w 1102485"/>
            <a:gd name="connsiteY441" fmla="*/ 183252 h 1329303"/>
            <a:gd name="connsiteX442" fmla="*/ 767454 w 1102485"/>
            <a:gd name="connsiteY442" fmla="*/ 249479 h 1329303"/>
            <a:gd name="connsiteX443" fmla="*/ 783037 w 1102485"/>
            <a:gd name="connsiteY443" fmla="*/ 296227 h 1329303"/>
            <a:gd name="connsiteX444" fmla="*/ 802516 w 1102485"/>
            <a:gd name="connsiteY444" fmla="*/ 366350 h 1329303"/>
            <a:gd name="connsiteX445" fmla="*/ 825890 w 1102485"/>
            <a:gd name="connsiteY445" fmla="*/ 455951 h 1329303"/>
            <a:gd name="connsiteX446" fmla="*/ 845368 w 1102485"/>
            <a:gd name="connsiteY446" fmla="*/ 498804 h 1329303"/>
            <a:gd name="connsiteX447" fmla="*/ 857055 w 1102485"/>
            <a:gd name="connsiteY447" fmla="*/ 533865 h 1329303"/>
            <a:gd name="connsiteX448" fmla="*/ 911595 w 1102485"/>
            <a:gd name="connsiteY448" fmla="*/ 646841 h 1329303"/>
            <a:gd name="connsiteX449" fmla="*/ 938865 w 1102485"/>
            <a:gd name="connsiteY449" fmla="*/ 693589 h 1329303"/>
            <a:gd name="connsiteX450" fmla="*/ 942761 w 1102485"/>
            <a:gd name="connsiteY450" fmla="*/ 705276 h 1329303"/>
            <a:gd name="connsiteX451" fmla="*/ 962239 w 1102485"/>
            <a:gd name="connsiteY451" fmla="*/ 740338 h 1329303"/>
            <a:gd name="connsiteX452" fmla="*/ 958344 w 1102485"/>
            <a:gd name="connsiteY452" fmla="*/ 705276 h 1329303"/>
            <a:gd name="connsiteX453" fmla="*/ 954448 w 1102485"/>
            <a:gd name="connsiteY453" fmla="*/ 736442 h 1329303"/>
            <a:gd name="connsiteX454" fmla="*/ 946657 w 1102485"/>
            <a:gd name="connsiteY454" fmla="*/ 845522 h 1329303"/>
            <a:gd name="connsiteX455" fmla="*/ 942761 w 1102485"/>
            <a:gd name="connsiteY455" fmla="*/ 907853 h 1329303"/>
            <a:gd name="connsiteX456" fmla="*/ 927178 w 1102485"/>
            <a:gd name="connsiteY456" fmla="*/ 1005246 h 1329303"/>
            <a:gd name="connsiteX457" fmla="*/ 919387 w 1102485"/>
            <a:gd name="connsiteY457" fmla="*/ 1071473 h 1329303"/>
            <a:gd name="connsiteX458" fmla="*/ 915491 w 1102485"/>
            <a:gd name="connsiteY458" fmla="*/ 1083160 h 1329303"/>
            <a:gd name="connsiteX459" fmla="*/ 919387 w 1102485"/>
            <a:gd name="connsiteY459" fmla="*/ 1137700 h 1329303"/>
            <a:gd name="connsiteX460" fmla="*/ 923282 w 1102485"/>
            <a:gd name="connsiteY460" fmla="*/ 1168865 h 1329303"/>
            <a:gd name="connsiteX461" fmla="*/ 915491 w 1102485"/>
            <a:gd name="connsiteY461" fmla="*/ 1094847 h 1329303"/>
            <a:gd name="connsiteX462" fmla="*/ 934969 w 1102485"/>
            <a:gd name="connsiteY462" fmla="*/ 580614 h 1329303"/>
            <a:gd name="connsiteX463" fmla="*/ 966135 w 1102485"/>
            <a:gd name="connsiteY463" fmla="*/ 467638 h 1329303"/>
            <a:gd name="connsiteX464" fmla="*/ 1020675 w 1102485"/>
            <a:gd name="connsiteY464" fmla="*/ 311810 h 1329303"/>
            <a:gd name="connsiteX465" fmla="*/ 1032362 w 1102485"/>
            <a:gd name="connsiteY465" fmla="*/ 272853 h 1329303"/>
            <a:gd name="connsiteX466" fmla="*/ 1036258 w 1102485"/>
            <a:gd name="connsiteY466" fmla="*/ 245583 h 1329303"/>
            <a:gd name="connsiteX467" fmla="*/ 1032362 w 1102485"/>
            <a:gd name="connsiteY467" fmla="*/ 226104 h 1329303"/>
            <a:gd name="connsiteX468" fmla="*/ 1028466 w 1102485"/>
            <a:gd name="connsiteY468" fmla="*/ 210522 h 1329303"/>
            <a:gd name="connsiteX469" fmla="*/ 1024571 w 1102485"/>
            <a:gd name="connsiteY469" fmla="*/ 191043 h 1329303"/>
            <a:gd name="connsiteX470" fmla="*/ 1020675 w 1102485"/>
            <a:gd name="connsiteY470" fmla="*/ 175460 h 1329303"/>
            <a:gd name="connsiteX471" fmla="*/ 1001196 w 1102485"/>
            <a:gd name="connsiteY471" fmla="*/ 113129 h 1329303"/>
            <a:gd name="connsiteX472" fmla="*/ 977822 w 1102485"/>
            <a:gd name="connsiteY472" fmla="*/ 101442 h 1329303"/>
            <a:gd name="connsiteX473" fmla="*/ 942761 w 1102485"/>
            <a:gd name="connsiteY473" fmla="*/ 105338 h 1329303"/>
            <a:gd name="connsiteX474" fmla="*/ 915491 w 1102485"/>
            <a:gd name="connsiteY474" fmla="*/ 120920 h 1329303"/>
            <a:gd name="connsiteX475" fmla="*/ 899908 w 1102485"/>
            <a:gd name="connsiteY475" fmla="*/ 124816 h 1329303"/>
            <a:gd name="connsiteX476" fmla="*/ 884325 w 1102485"/>
            <a:gd name="connsiteY476" fmla="*/ 132607 h 1329303"/>
            <a:gd name="connsiteX477" fmla="*/ 841473 w 1102485"/>
            <a:gd name="connsiteY477" fmla="*/ 140399 h 1329303"/>
            <a:gd name="connsiteX478" fmla="*/ 845368 w 1102485"/>
            <a:gd name="connsiteY478" fmla="*/ 163773 h 1329303"/>
            <a:gd name="connsiteX479" fmla="*/ 849264 w 1102485"/>
            <a:gd name="connsiteY479" fmla="*/ 183252 h 1329303"/>
            <a:gd name="connsiteX480" fmla="*/ 853160 w 1102485"/>
            <a:gd name="connsiteY480" fmla="*/ 214417 h 1329303"/>
            <a:gd name="connsiteX481" fmla="*/ 868742 w 1102485"/>
            <a:gd name="connsiteY481" fmla="*/ 420890 h 1329303"/>
            <a:gd name="connsiteX482" fmla="*/ 958344 w 1102485"/>
            <a:gd name="connsiteY482" fmla="*/ 724755 h 1329303"/>
            <a:gd name="connsiteX483" fmla="*/ 1028466 w 1102485"/>
            <a:gd name="connsiteY483" fmla="*/ 919540 h 1329303"/>
            <a:gd name="connsiteX484" fmla="*/ 1059632 w 1102485"/>
            <a:gd name="connsiteY484" fmla="*/ 1028620 h 1329303"/>
            <a:gd name="connsiteX485" fmla="*/ 1071319 w 1102485"/>
            <a:gd name="connsiteY485" fmla="*/ 1059785 h 1329303"/>
            <a:gd name="connsiteX486" fmla="*/ 1075215 w 1102485"/>
            <a:gd name="connsiteY486" fmla="*/ 1087055 h 1329303"/>
            <a:gd name="connsiteX487" fmla="*/ 1079111 w 1102485"/>
            <a:gd name="connsiteY487" fmla="*/ 1098742 h 1329303"/>
            <a:gd name="connsiteX488" fmla="*/ 1083006 w 1102485"/>
            <a:gd name="connsiteY488" fmla="*/ 1129908 h 13293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  <a:cxn ang="0">
              <a:pos x="connsiteX267" y="connsiteY267"/>
            </a:cxn>
            <a:cxn ang="0">
              <a:pos x="connsiteX268" y="connsiteY268"/>
            </a:cxn>
            <a:cxn ang="0">
              <a:pos x="connsiteX269" y="connsiteY269"/>
            </a:cxn>
            <a:cxn ang="0">
              <a:pos x="connsiteX270" y="connsiteY270"/>
            </a:cxn>
            <a:cxn ang="0">
              <a:pos x="connsiteX271" y="connsiteY271"/>
            </a:cxn>
            <a:cxn ang="0">
              <a:pos x="connsiteX272" y="connsiteY272"/>
            </a:cxn>
            <a:cxn ang="0">
              <a:pos x="connsiteX273" y="connsiteY273"/>
            </a:cxn>
            <a:cxn ang="0">
              <a:pos x="connsiteX274" y="connsiteY274"/>
            </a:cxn>
            <a:cxn ang="0">
              <a:pos x="connsiteX275" y="connsiteY275"/>
            </a:cxn>
            <a:cxn ang="0">
              <a:pos x="connsiteX276" y="connsiteY276"/>
            </a:cxn>
            <a:cxn ang="0">
              <a:pos x="connsiteX277" y="connsiteY277"/>
            </a:cxn>
            <a:cxn ang="0">
              <a:pos x="connsiteX278" y="connsiteY278"/>
            </a:cxn>
            <a:cxn ang="0">
              <a:pos x="connsiteX279" y="connsiteY279"/>
            </a:cxn>
            <a:cxn ang="0">
              <a:pos x="connsiteX280" y="connsiteY280"/>
            </a:cxn>
            <a:cxn ang="0">
              <a:pos x="connsiteX281" y="connsiteY281"/>
            </a:cxn>
            <a:cxn ang="0">
              <a:pos x="connsiteX282" y="connsiteY282"/>
            </a:cxn>
            <a:cxn ang="0">
              <a:pos x="connsiteX283" y="connsiteY283"/>
            </a:cxn>
            <a:cxn ang="0">
              <a:pos x="connsiteX284" y="connsiteY284"/>
            </a:cxn>
            <a:cxn ang="0">
              <a:pos x="connsiteX285" y="connsiteY285"/>
            </a:cxn>
            <a:cxn ang="0">
              <a:pos x="connsiteX286" y="connsiteY286"/>
            </a:cxn>
            <a:cxn ang="0">
              <a:pos x="connsiteX287" y="connsiteY287"/>
            </a:cxn>
            <a:cxn ang="0">
              <a:pos x="connsiteX288" y="connsiteY288"/>
            </a:cxn>
            <a:cxn ang="0">
              <a:pos x="connsiteX289" y="connsiteY289"/>
            </a:cxn>
            <a:cxn ang="0">
              <a:pos x="connsiteX290" y="connsiteY290"/>
            </a:cxn>
            <a:cxn ang="0">
              <a:pos x="connsiteX291" y="connsiteY291"/>
            </a:cxn>
            <a:cxn ang="0">
              <a:pos x="connsiteX292" y="connsiteY292"/>
            </a:cxn>
            <a:cxn ang="0">
              <a:pos x="connsiteX293" y="connsiteY293"/>
            </a:cxn>
            <a:cxn ang="0">
              <a:pos x="connsiteX294" y="connsiteY294"/>
            </a:cxn>
            <a:cxn ang="0">
              <a:pos x="connsiteX295" y="connsiteY295"/>
            </a:cxn>
            <a:cxn ang="0">
              <a:pos x="connsiteX296" y="connsiteY296"/>
            </a:cxn>
            <a:cxn ang="0">
              <a:pos x="connsiteX297" y="connsiteY297"/>
            </a:cxn>
            <a:cxn ang="0">
              <a:pos x="connsiteX298" y="connsiteY298"/>
            </a:cxn>
            <a:cxn ang="0">
              <a:pos x="connsiteX299" y="connsiteY299"/>
            </a:cxn>
            <a:cxn ang="0">
              <a:pos x="connsiteX300" y="connsiteY300"/>
            </a:cxn>
            <a:cxn ang="0">
              <a:pos x="connsiteX301" y="connsiteY301"/>
            </a:cxn>
            <a:cxn ang="0">
              <a:pos x="connsiteX302" y="connsiteY302"/>
            </a:cxn>
            <a:cxn ang="0">
              <a:pos x="connsiteX303" y="connsiteY303"/>
            </a:cxn>
            <a:cxn ang="0">
              <a:pos x="connsiteX304" y="connsiteY304"/>
            </a:cxn>
            <a:cxn ang="0">
              <a:pos x="connsiteX305" y="connsiteY305"/>
            </a:cxn>
            <a:cxn ang="0">
              <a:pos x="connsiteX306" y="connsiteY306"/>
            </a:cxn>
            <a:cxn ang="0">
              <a:pos x="connsiteX307" y="connsiteY307"/>
            </a:cxn>
            <a:cxn ang="0">
              <a:pos x="connsiteX308" y="connsiteY308"/>
            </a:cxn>
            <a:cxn ang="0">
              <a:pos x="connsiteX309" y="connsiteY309"/>
            </a:cxn>
            <a:cxn ang="0">
              <a:pos x="connsiteX310" y="connsiteY310"/>
            </a:cxn>
            <a:cxn ang="0">
              <a:pos x="connsiteX311" y="connsiteY311"/>
            </a:cxn>
            <a:cxn ang="0">
              <a:pos x="connsiteX312" y="connsiteY312"/>
            </a:cxn>
            <a:cxn ang="0">
              <a:pos x="connsiteX313" y="connsiteY313"/>
            </a:cxn>
            <a:cxn ang="0">
              <a:pos x="connsiteX314" y="connsiteY314"/>
            </a:cxn>
            <a:cxn ang="0">
              <a:pos x="connsiteX315" y="connsiteY315"/>
            </a:cxn>
            <a:cxn ang="0">
              <a:pos x="connsiteX316" y="connsiteY316"/>
            </a:cxn>
            <a:cxn ang="0">
              <a:pos x="connsiteX317" y="connsiteY317"/>
            </a:cxn>
            <a:cxn ang="0">
              <a:pos x="connsiteX318" y="connsiteY318"/>
            </a:cxn>
            <a:cxn ang="0">
              <a:pos x="connsiteX319" y="connsiteY319"/>
            </a:cxn>
            <a:cxn ang="0">
              <a:pos x="connsiteX320" y="connsiteY320"/>
            </a:cxn>
            <a:cxn ang="0">
              <a:pos x="connsiteX321" y="connsiteY321"/>
            </a:cxn>
            <a:cxn ang="0">
              <a:pos x="connsiteX322" y="connsiteY322"/>
            </a:cxn>
            <a:cxn ang="0">
              <a:pos x="connsiteX323" y="connsiteY323"/>
            </a:cxn>
            <a:cxn ang="0">
              <a:pos x="connsiteX324" y="connsiteY324"/>
            </a:cxn>
            <a:cxn ang="0">
              <a:pos x="connsiteX325" y="connsiteY325"/>
            </a:cxn>
            <a:cxn ang="0">
              <a:pos x="connsiteX326" y="connsiteY326"/>
            </a:cxn>
            <a:cxn ang="0">
              <a:pos x="connsiteX327" y="connsiteY327"/>
            </a:cxn>
            <a:cxn ang="0">
              <a:pos x="connsiteX328" y="connsiteY328"/>
            </a:cxn>
            <a:cxn ang="0">
              <a:pos x="connsiteX329" y="connsiteY329"/>
            </a:cxn>
            <a:cxn ang="0">
              <a:pos x="connsiteX330" y="connsiteY330"/>
            </a:cxn>
            <a:cxn ang="0">
              <a:pos x="connsiteX331" y="connsiteY331"/>
            </a:cxn>
            <a:cxn ang="0">
              <a:pos x="connsiteX332" y="connsiteY332"/>
            </a:cxn>
            <a:cxn ang="0">
              <a:pos x="connsiteX333" y="connsiteY333"/>
            </a:cxn>
            <a:cxn ang="0">
              <a:pos x="connsiteX334" y="connsiteY334"/>
            </a:cxn>
            <a:cxn ang="0">
              <a:pos x="connsiteX335" y="connsiteY335"/>
            </a:cxn>
            <a:cxn ang="0">
              <a:pos x="connsiteX336" y="connsiteY336"/>
            </a:cxn>
            <a:cxn ang="0">
              <a:pos x="connsiteX337" y="connsiteY337"/>
            </a:cxn>
            <a:cxn ang="0">
              <a:pos x="connsiteX338" y="connsiteY338"/>
            </a:cxn>
            <a:cxn ang="0">
              <a:pos x="connsiteX339" y="connsiteY339"/>
            </a:cxn>
            <a:cxn ang="0">
              <a:pos x="connsiteX340" y="connsiteY340"/>
            </a:cxn>
            <a:cxn ang="0">
              <a:pos x="connsiteX341" y="connsiteY341"/>
            </a:cxn>
            <a:cxn ang="0">
              <a:pos x="connsiteX342" y="connsiteY342"/>
            </a:cxn>
            <a:cxn ang="0">
              <a:pos x="connsiteX343" y="connsiteY343"/>
            </a:cxn>
            <a:cxn ang="0">
              <a:pos x="connsiteX344" y="connsiteY344"/>
            </a:cxn>
            <a:cxn ang="0">
              <a:pos x="connsiteX345" y="connsiteY345"/>
            </a:cxn>
            <a:cxn ang="0">
              <a:pos x="connsiteX346" y="connsiteY346"/>
            </a:cxn>
            <a:cxn ang="0">
              <a:pos x="connsiteX347" y="connsiteY347"/>
            </a:cxn>
            <a:cxn ang="0">
              <a:pos x="connsiteX348" y="connsiteY348"/>
            </a:cxn>
            <a:cxn ang="0">
              <a:pos x="connsiteX349" y="connsiteY349"/>
            </a:cxn>
            <a:cxn ang="0">
              <a:pos x="connsiteX350" y="connsiteY350"/>
            </a:cxn>
            <a:cxn ang="0">
              <a:pos x="connsiteX351" y="connsiteY351"/>
            </a:cxn>
            <a:cxn ang="0">
              <a:pos x="connsiteX352" y="connsiteY352"/>
            </a:cxn>
            <a:cxn ang="0">
              <a:pos x="connsiteX353" y="connsiteY353"/>
            </a:cxn>
            <a:cxn ang="0">
              <a:pos x="connsiteX354" y="connsiteY354"/>
            </a:cxn>
            <a:cxn ang="0">
              <a:pos x="connsiteX355" y="connsiteY355"/>
            </a:cxn>
            <a:cxn ang="0">
              <a:pos x="connsiteX356" y="connsiteY356"/>
            </a:cxn>
            <a:cxn ang="0">
              <a:pos x="connsiteX357" y="connsiteY357"/>
            </a:cxn>
            <a:cxn ang="0">
              <a:pos x="connsiteX358" y="connsiteY358"/>
            </a:cxn>
            <a:cxn ang="0">
              <a:pos x="connsiteX359" y="connsiteY359"/>
            </a:cxn>
            <a:cxn ang="0">
              <a:pos x="connsiteX360" y="connsiteY360"/>
            </a:cxn>
            <a:cxn ang="0">
              <a:pos x="connsiteX361" y="connsiteY361"/>
            </a:cxn>
            <a:cxn ang="0">
              <a:pos x="connsiteX362" y="connsiteY362"/>
            </a:cxn>
            <a:cxn ang="0">
              <a:pos x="connsiteX363" y="connsiteY363"/>
            </a:cxn>
            <a:cxn ang="0">
              <a:pos x="connsiteX364" y="connsiteY364"/>
            </a:cxn>
            <a:cxn ang="0">
              <a:pos x="connsiteX365" y="connsiteY365"/>
            </a:cxn>
            <a:cxn ang="0">
              <a:pos x="connsiteX366" y="connsiteY366"/>
            </a:cxn>
            <a:cxn ang="0">
              <a:pos x="connsiteX367" y="connsiteY367"/>
            </a:cxn>
            <a:cxn ang="0">
              <a:pos x="connsiteX368" y="connsiteY368"/>
            </a:cxn>
            <a:cxn ang="0">
              <a:pos x="connsiteX369" y="connsiteY369"/>
            </a:cxn>
            <a:cxn ang="0">
              <a:pos x="connsiteX370" y="connsiteY370"/>
            </a:cxn>
            <a:cxn ang="0">
              <a:pos x="connsiteX371" y="connsiteY371"/>
            </a:cxn>
            <a:cxn ang="0">
              <a:pos x="connsiteX372" y="connsiteY372"/>
            </a:cxn>
            <a:cxn ang="0">
              <a:pos x="connsiteX373" y="connsiteY373"/>
            </a:cxn>
            <a:cxn ang="0">
              <a:pos x="connsiteX374" y="connsiteY374"/>
            </a:cxn>
            <a:cxn ang="0">
              <a:pos x="connsiteX375" y="connsiteY375"/>
            </a:cxn>
            <a:cxn ang="0">
              <a:pos x="connsiteX376" y="connsiteY376"/>
            </a:cxn>
            <a:cxn ang="0">
              <a:pos x="connsiteX377" y="connsiteY377"/>
            </a:cxn>
            <a:cxn ang="0">
              <a:pos x="connsiteX378" y="connsiteY378"/>
            </a:cxn>
            <a:cxn ang="0">
              <a:pos x="connsiteX379" y="connsiteY379"/>
            </a:cxn>
            <a:cxn ang="0">
              <a:pos x="connsiteX380" y="connsiteY380"/>
            </a:cxn>
            <a:cxn ang="0">
              <a:pos x="connsiteX381" y="connsiteY381"/>
            </a:cxn>
            <a:cxn ang="0">
              <a:pos x="connsiteX382" y="connsiteY382"/>
            </a:cxn>
            <a:cxn ang="0">
              <a:pos x="connsiteX383" y="connsiteY383"/>
            </a:cxn>
            <a:cxn ang="0">
              <a:pos x="connsiteX384" y="connsiteY384"/>
            </a:cxn>
            <a:cxn ang="0">
              <a:pos x="connsiteX385" y="connsiteY385"/>
            </a:cxn>
            <a:cxn ang="0">
              <a:pos x="connsiteX386" y="connsiteY386"/>
            </a:cxn>
            <a:cxn ang="0">
              <a:pos x="connsiteX387" y="connsiteY387"/>
            </a:cxn>
            <a:cxn ang="0">
              <a:pos x="connsiteX388" y="connsiteY388"/>
            </a:cxn>
            <a:cxn ang="0">
              <a:pos x="connsiteX389" y="connsiteY389"/>
            </a:cxn>
            <a:cxn ang="0">
              <a:pos x="connsiteX390" y="connsiteY390"/>
            </a:cxn>
            <a:cxn ang="0">
              <a:pos x="connsiteX391" y="connsiteY391"/>
            </a:cxn>
            <a:cxn ang="0">
              <a:pos x="connsiteX392" y="connsiteY392"/>
            </a:cxn>
            <a:cxn ang="0">
              <a:pos x="connsiteX393" y="connsiteY393"/>
            </a:cxn>
            <a:cxn ang="0">
              <a:pos x="connsiteX394" y="connsiteY394"/>
            </a:cxn>
            <a:cxn ang="0">
              <a:pos x="connsiteX395" y="connsiteY395"/>
            </a:cxn>
            <a:cxn ang="0">
              <a:pos x="connsiteX396" y="connsiteY396"/>
            </a:cxn>
            <a:cxn ang="0">
              <a:pos x="connsiteX397" y="connsiteY397"/>
            </a:cxn>
            <a:cxn ang="0">
              <a:pos x="connsiteX398" y="connsiteY398"/>
            </a:cxn>
            <a:cxn ang="0">
              <a:pos x="connsiteX399" y="connsiteY399"/>
            </a:cxn>
            <a:cxn ang="0">
              <a:pos x="connsiteX400" y="connsiteY400"/>
            </a:cxn>
            <a:cxn ang="0">
              <a:pos x="connsiteX401" y="connsiteY401"/>
            </a:cxn>
            <a:cxn ang="0">
              <a:pos x="connsiteX402" y="connsiteY402"/>
            </a:cxn>
            <a:cxn ang="0">
              <a:pos x="connsiteX403" y="connsiteY403"/>
            </a:cxn>
            <a:cxn ang="0">
              <a:pos x="connsiteX404" y="connsiteY404"/>
            </a:cxn>
            <a:cxn ang="0">
              <a:pos x="connsiteX405" y="connsiteY405"/>
            </a:cxn>
            <a:cxn ang="0">
              <a:pos x="connsiteX406" y="connsiteY406"/>
            </a:cxn>
            <a:cxn ang="0">
              <a:pos x="connsiteX407" y="connsiteY407"/>
            </a:cxn>
            <a:cxn ang="0">
              <a:pos x="connsiteX408" y="connsiteY408"/>
            </a:cxn>
            <a:cxn ang="0">
              <a:pos x="connsiteX409" y="connsiteY409"/>
            </a:cxn>
            <a:cxn ang="0">
              <a:pos x="connsiteX410" y="connsiteY410"/>
            </a:cxn>
            <a:cxn ang="0">
              <a:pos x="connsiteX411" y="connsiteY411"/>
            </a:cxn>
            <a:cxn ang="0">
              <a:pos x="connsiteX412" y="connsiteY412"/>
            </a:cxn>
            <a:cxn ang="0">
              <a:pos x="connsiteX413" y="connsiteY413"/>
            </a:cxn>
            <a:cxn ang="0">
              <a:pos x="connsiteX414" y="connsiteY414"/>
            </a:cxn>
            <a:cxn ang="0">
              <a:pos x="connsiteX415" y="connsiteY415"/>
            </a:cxn>
            <a:cxn ang="0">
              <a:pos x="connsiteX416" y="connsiteY416"/>
            </a:cxn>
            <a:cxn ang="0">
              <a:pos x="connsiteX417" y="connsiteY417"/>
            </a:cxn>
            <a:cxn ang="0">
              <a:pos x="connsiteX418" y="connsiteY418"/>
            </a:cxn>
            <a:cxn ang="0">
              <a:pos x="connsiteX419" y="connsiteY419"/>
            </a:cxn>
            <a:cxn ang="0">
              <a:pos x="connsiteX420" y="connsiteY420"/>
            </a:cxn>
            <a:cxn ang="0">
              <a:pos x="connsiteX421" y="connsiteY421"/>
            </a:cxn>
            <a:cxn ang="0">
              <a:pos x="connsiteX422" y="connsiteY422"/>
            </a:cxn>
            <a:cxn ang="0">
              <a:pos x="connsiteX423" y="connsiteY423"/>
            </a:cxn>
            <a:cxn ang="0">
              <a:pos x="connsiteX424" y="connsiteY424"/>
            </a:cxn>
            <a:cxn ang="0">
              <a:pos x="connsiteX425" y="connsiteY425"/>
            </a:cxn>
            <a:cxn ang="0">
              <a:pos x="connsiteX426" y="connsiteY426"/>
            </a:cxn>
            <a:cxn ang="0">
              <a:pos x="connsiteX427" y="connsiteY427"/>
            </a:cxn>
            <a:cxn ang="0">
              <a:pos x="connsiteX428" y="connsiteY428"/>
            </a:cxn>
            <a:cxn ang="0">
              <a:pos x="connsiteX429" y="connsiteY429"/>
            </a:cxn>
            <a:cxn ang="0">
              <a:pos x="connsiteX430" y="connsiteY430"/>
            </a:cxn>
            <a:cxn ang="0">
              <a:pos x="connsiteX431" y="connsiteY431"/>
            </a:cxn>
            <a:cxn ang="0">
              <a:pos x="connsiteX432" y="connsiteY432"/>
            </a:cxn>
            <a:cxn ang="0">
              <a:pos x="connsiteX433" y="connsiteY433"/>
            </a:cxn>
            <a:cxn ang="0">
              <a:pos x="connsiteX434" y="connsiteY434"/>
            </a:cxn>
            <a:cxn ang="0">
              <a:pos x="connsiteX435" y="connsiteY435"/>
            </a:cxn>
            <a:cxn ang="0">
              <a:pos x="connsiteX436" y="connsiteY436"/>
            </a:cxn>
            <a:cxn ang="0">
              <a:pos x="connsiteX437" y="connsiteY437"/>
            </a:cxn>
            <a:cxn ang="0">
              <a:pos x="connsiteX438" y="connsiteY438"/>
            </a:cxn>
            <a:cxn ang="0">
              <a:pos x="connsiteX439" y="connsiteY439"/>
            </a:cxn>
            <a:cxn ang="0">
              <a:pos x="connsiteX440" y="connsiteY440"/>
            </a:cxn>
            <a:cxn ang="0">
              <a:pos x="connsiteX441" y="connsiteY441"/>
            </a:cxn>
            <a:cxn ang="0">
              <a:pos x="connsiteX442" y="connsiteY442"/>
            </a:cxn>
            <a:cxn ang="0">
              <a:pos x="connsiteX443" y="connsiteY443"/>
            </a:cxn>
            <a:cxn ang="0">
              <a:pos x="connsiteX444" y="connsiteY444"/>
            </a:cxn>
            <a:cxn ang="0">
              <a:pos x="connsiteX445" y="connsiteY445"/>
            </a:cxn>
            <a:cxn ang="0">
              <a:pos x="connsiteX446" y="connsiteY446"/>
            </a:cxn>
            <a:cxn ang="0">
              <a:pos x="connsiteX447" y="connsiteY447"/>
            </a:cxn>
            <a:cxn ang="0">
              <a:pos x="connsiteX448" y="connsiteY448"/>
            </a:cxn>
            <a:cxn ang="0">
              <a:pos x="connsiteX449" y="connsiteY449"/>
            </a:cxn>
            <a:cxn ang="0">
              <a:pos x="connsiteX450" y="connsiteY450"/>
            </a:cxn>
            <a:cxn ang="0">
              <a:pos x="connsiteX451" y="connsiteY451"/>
            </a:cxn>
            <a:cxn ang="0">
              <a:pos x="connsiteX452" y="connsiteY452"/>
            </a:cxn>
            <a:cxn ang="0">
              <a:pos x="connsiteX453" y="connsiteY453"/>
            </a:cxn>
            <a:cxn ang="0">
              <a:pos x="connsiteX454" y="connsiteY454"/>
            </a:cxn>
            <a:cxn ang="0">
              <a:pos x="connsiteX455" y="connsiteY455"/>
            </a:cxn>
            <a:cxn ang="0">
              <a:pos x="connsiteX456" y="connsiteY456"/>
            </a:cxn>
            <a:cxn ang="0">
              <a:pos x="connsiteX457" y="connsiteY457"/>
            </a:cxn>
            <a:cxn ang="0">
              <a:pos x="connsiteX458" y="connsiteY458"/>
            </a:cxn>
            <a:cxn ang="0">
              <a:pos x="connsiteX459" y="connsiteY459"/>
            </a:cxn>
            <a:cxn ang="0">
              <a:pos x="connsiteX460" y="connsiteY460"/>
            </a:cxn>
            <a:cxn ang="0">
              <a:pos x="connsiteX461" y="connsiteY461"/>
            </a:cxn>
            <a:cxn ang="0">
              <a:pos x="connsiteX462" y="connsiteY462"/>
            </a:cxn>
            <a:cxn ang="0">
              <a:pos x="connsiteX463" y="connsiteY463"/>
            </a:cxn>
            <a:cxn ang="0">
              <a:pos x="connsiteX464" y="connsiteY464"/>
            </a:cxn>
            <a:cxn ang="0">
              <a:pos x="connsiteX465" y="connsiteY465"/>
            </a:cxn>
            <a:cxn ang="0">
              <a:pos x="connsiteX466" y="connsiteY466"/>
            </a:cxn>
            <a:cxn ang="0">
              <a:pos x="connsiteX467" y="connsiteY467"/>
            </a:cxn>
            <a:cxn ang="0">
              <a:pos x="connsiteX468" y="connsiteY468"/>
            </a:cxn>
            <a:cxn ang="0">
              <a:pos x="connsiteX469" y="connsiteY469"/>
            </a:cxn>
            <a:cxn ang="0">
              <a:pos x="connsiteX470" y="connsiteY470"/>
            </a:cxn>
            <a:cxn ang="0">
              <a:pos x="connsiteX471" y="connsiteY471"/>
            </a:cxn>
            <a:cxn ang="0">
              <a:pos x="connsiteX472" y="connsiteY472"/>
            </a:cxn>
            <a:cxn ang="0">
              <a:pos x="connsiteX473" y="connsiteY473"/>
            </a:cxn>
            <a:cxn ang="0">
              <a:pos x="connsiteX474" y="connsiteY474"/>
            </a:cxn>
            <a:cxn ang="0">
              <a:pos x="connsiteX475" y="connsiteY475"/>
            </a:cxn>
            <a:cxn ang="0">
              <a:pos x="connsiteX476" y="connsiteY476"/>
            </a:cxn>
            <a:cxn ang="0">
              <a:pos x="connsiteX477" y="connsiteY477"/>
            </a:cxn>
            <a:cxn ang="0">
              <a:pos x="connsiteX478" y="connsiteY478"/>
            </a:cxn>
            <a:cxn ang="0">
              <a:pos x="connsiteX479" y="connsiteY479"/>
            </a:cxn>
            <a:cxn ang="0">
              <a:pos x="connsiteX480" y="connsiteY480"/>
            </a:cxn>
            <a:cxn ang="0">
              <a:pos x="connsiteX481" y="connsiteY481"/>
            </a:cxn>
            <a:cxn ang="0">
              <a:pos x="connsiteX482" y="connsiteY482"/>
            </a:cxn>
            <a:cxn ang="0">
              <a:pos x="connsiteX483" y="connsiteY483"/>
            </a:cxn>
            <a:cxn ang="0">
              <a:pos x="connsiteX484" y="connsiteY484"/>
            </a:cxn>
            <a:cxn ang="0">
              <a:pos x="connsiteX485" y="connsiteY485"/>
            </a:cxn>
            <a:cxn ang="0">
              <a:pos x="connsiteX486" y="connsiteY486"/>
            </a:cxn>
            <a:cxn ang="0">
              <a:pos x="connsiteX487" y="connsiteY487"/>
            </a:cxn>
            <a:cxn ang="0">
              <a:pos x="connsiteX488" y="connsiteY488"/>
            </a:cxn>
          </a:cxnLst>
          <a:rect l="l" t="t" r="r" b="b"/>
          <a:pathLst>
            <a:path w="1102485" h="1329303">
              <a:moveTo>
                <a:pt x="432423" y="85859"/>
              </a:moveTo>
              <a:cubicBezTo>
                <a:pt x="424632" y="92352"/>
                <a:pt x="417488" y="99712"/>
                <a:pt x="409049" y="105338"/>
              </a:cubicBezTo>
              <a:cubicBezTo>
                <a:pt x="368034" y="132682"/>
                <a:pt x="402218" y="100188"/>
                <a:pt x="366196" y="132607"/>
              </a:cubicBezTo>
              <a:cubicBezTo>
                <a:pt x="359371" y="138750"/>
                <a:pt x="353543" y="145943"/>
                <a:pt x="346718" y="152086"/>
              </a:cubicBezTo>
              <a:cubicBezTo>
                <a:pt x="340538" y="157649"/>
                <a:pt x="333119" y="161789"/>
                <a:pt x="327239" y="167669"/>
              </a:cubicBezTo>
              <a:cubicBezTo>
                <a:pt x="301446" y="193462"/>
                <a:pt x="329308" y="173737"/>
                <a:pt x="303865" y="194939"/>
              </a:cubicBezTo>
              <a:cubicBezTo>
                <a:pt x="300268" y="197936"/>
                <a:pt x="295733" y="199683"/>
                <a:pt x="292178" y="202730"/>
              </a:cubicBezTo>
              <a:cubicBezTo>
                <a:pt x="286601" y="207511"/>
                <a:pt x="281789" y="213119"/>
                <a:pt x="276595" y="218313"/>
              </a:cubicBezTo>
              <a:lnTo>
                <a:pt x="245430" y="249479"/>
              </a:lnTo>
              <a:cubicBezTo>
                <a:pt x="240236" y="254673"/>
                <a:pt x="233922" y="258949"/>
                <a:pt x="229847" y="265061"/>
              </a:cubicBezTo>
              <a:cubicBezTo>
                <a:pt x="182822" y="335600"/>
                <a:pt x="241109" y="247365"/>
                <a:pt x="202577" y="307914"/>
              </a:cubicBezTo>
              <a:cubicBezTo>
                <a:pt x="197550" y="315814"/>
                <a:pt x="192188" y="323497"/>
                <a:pt x="186994" y="331288"/>
              </a:cubicBezTo>
              <a:lnTo>
                <a:pt x="179203" y="342976"/>
              </a:lnTo>
              <a:cubicBezTo>
                <a:pt x="174009" y="350767"/>
                <a:pt x="167309" y="357743"/>
                <a:pt x="163620" y="366350"/>
              </a:cubicBezTo>
              <a:cubicBezTo>
                <a:pt x="159724" y="375440"/>
                <a:pt x="155606" y="384438"/>
                <a:pt x="151933" y="393620"/>
              </a:cubicBezTo>
              <a:cubicBezTo>
                <a:pt x="147813" y="403921"/>
                <a:pt x="144470" y="414526"/>
                <a:pt x="140246" y="424785"/>
              </a:cubicBezTo>
              <a:cubicBezTo>
                <a:pt x="130543" y="448350"/>
                <a:pt x="120144" y="466640"/>
                <a:pt x="112976" y="491012"/>
              </a:cubicBezTo>
              <a:cubicBezTo>
                <a:pt x="109598" y="502498"/>
                <a:pt x="107926" y="514420"/>
                <a:pt x="105184" y="526074"/>
              </a:cubicBezTo>
              <a:cubicBezTo>
                <a:pt x="91610" y="583761"/>
                <a:pt x="102375" y="529841"/>
                <a:pt x="89601" y="600092"/>
              </a:cubicBezTo>
              <a:cubicBezTo>
                <a:pt x="88303" y="614376"/>
                <a:pt x="85706" y="628602"/>
                <a:pt x="85706" y="642945"/>
              </a:cubicBezTo>
              <a:cubicBezTo>
                <a:pt x="85706" y="723467"/>
                <a:pt x="87125" y="803995"/>
                <a:pt x="89601" y="884479"/>
              </a:cubicBezTo>
              <a:cubicBezTo>
                <a:pt x="89727" y="888583"/>
                <a:pt x="92416" y="892204"/>
                <a:pt x="93497" y="896166"/>
              </a:cubicBezTo>
              <a:cubicBezTo>
                <a:pt x="115272" y="976000"/>
                <a:pt x="89681" y="894414"/>
                <a:pt x="109080" y="942914"/>
              </a:cubicBezTo>
              <a:cubicBezTo>
                <a:pt x="112130" y="950539"/>
                <a:pt x="113821" y="958663"/>
                <a:pt x="116871" y="966288"/>
              </a:cubicBezTo>
              <a:cubicBezTo>
                <a:pt x="119468" y="972781"/>
                <a:pt x="122606" y="979083"/>
                <a:pt x="124663" y="985767"/>
              </a:cubicBezTo>
              <a:cubicBezTo>
                <a:pt x="127812" y="996002"/>
                <a:pt x="129067" y="1006774"/>
                <a:pt x="132454" y="1016933"/>
              </a:cubicBezTo>
              <a:cubicBezTo>
                <a:pt x="133753" y="1020829"/>
                <a:pt x="135270" y="1024658"/>
                <a:pt x="136350" y="1028620"/>
              </a:cubicBezTo>
              <a:cubicBezTo>
                <a:pt x="139167" y="1038951"/>
                <a:pt x="142041" y="1049285"/>
                <a:pt x="144141" y="1059785"/>
              </a:cubicBezTo>
              <a:cubicBezTo>
                <a:pt x="145440" y="1066278"/>
                <a:pt x="146295" y="1072876"/>
                <a:pt x="148037" y="1079264"/>
              </a:cubicBezTo>
              <a:cubicBezTo>
                <a:pt x="150198" y="1087187"/>
                <a:pt x="151272" y="1095805"/>
                <a:pt x="155828" y="1102638"/>
              </a:cubicBezTo>
              <a:cubicBezTo>
                <a:pt x="161022" y="1110429"/>
                <a:pt x="168450" y="1117128"/>
                <a:pt x="171411" y="1126012"/>
              </a:cubicBezTo>
              <a:cubicBezTo>
                <a:pt x="177049" y="1142927"/>
                <a:pt x="172403" y="1134796"/>
                <a:pt x="186994" y="1149387"/>
              </a:cubicBezTo>
              <a:cubicBezTo>
                <a:pt x="188293" y="1153283"/>
                <a:pt x="189191" y="1157336"/>
                <a:pt x="190890" y="1161074"/>
              </a:cubicBezTo>
              <a:cubicBezTo>
                <a:pt x="201230" y="1183822"/>
                <a:pt x="204058" y="1190899"/>
                <a:pt x="218160" y="1207822"/>
              </a:cubicBezTo>
              <a:cubicBezTo>
                <a:pt x="220511" y="1210644"/>
                <a:pt x="223083" y="1213319"/>
                <a:pt x="225951" y="1215614"/>
              </a:cubicBezTo>
              <a:cubicBezTo>
                <a:pt x="229607" y="1218539"/>
                <a:pt x="233742" y="1220808"/>
                <a:pt x="237638" y="1223405"/>
              </a:cubicBezTo>
              <a:cubicBezTo>
                <a:pt x="233742" y="1215614"/>
                <a:pt x="231074" y="1207076"/>
                <a:pt x="225951" y="1200031"/>
              </a:cubicBezTo>
              <a:cubicBezTo>
                <a:pt x="200897" y="1165581"/>
                <a:pt x="212722" y="1194138"/>
                <a:pt x="198681" y="1168865"/>
              </a:cubicBezTo>
              <a:cubicBezTo>
                <a:pt x="186707" y="1147313"/>
                <a:pt x="164828" y="1095920"/>
                <a:pt x="159724" y="1083160"/>
              </a:cubicBezTo>
              <a:cubicBezTo>
                <a:pt x="154530" y="1070174"/>
                <a:pt x="150096" y="1056858"/>
                <a:pt x="144141" y="1044203"/>
              </a:cubicBezTo>
              <a:cubicBezTo>
                <a:pt x="139683" y="1034730"/>
                <a:pt x="133240" y="1026297"/>
                <a:pt x="128558" y="1016933"/>
              </a:cubicBezTo>
              <a:cubicBezTo>
                <a:pt x="111871" y="983559"/>
                <a:pt x="109872" y="972559"/>
                <a:pt x="97393" y="935123"/>
              </a:cubicBezTo>
              <a:cubicBezTo>
                <a:pt x="89427" y="831576"/>
                <a:pt x="90928" y="872693"/>
                <a:pt x="97393" y="701381"/>
              </a:cubicBezTo>
              <a:cubicBezTo>
                <a:pt x="97691" y="693487"/>
                <a:pt x="99634" y="685730"/>
                <a:pt x="101289" y="678006"/>
              </a:cubicBezTo>
              <a:cubicBezTo>
                <a:pt x="103533" y="667536"/>
                <a:pt x="105694" y="657000"/>
                <a:pt x="109080" y="646841"/>
              </a:cubicBezTo>
              <a:cubicBezTo>
                <a:pt x="116097" y="625790"/>
                <a:pt x="127640" y="606171"/>
                <a:pt x="132454" y="584509"/>
              </a:cubicBezTo>
              <a:cubicBezTo>
                <a:pt x="133981" y="577636"/>
                <a:pt x="145024" y="526500"/>
                <a:pt x="148037" y="518282"/>
              </a:cubicBezTo>
              <a:cubicBezTo>
                <a:pt x="158663" y="489302"/>
                <a:pt x="168722" y="459891"/>
                <a:pt x="183098" y="432577"/>
              </a:cubicBezTo>
              <a:cubicBezTo>
                <a:pt x="196084" y="407904"/>
                <a:pt x="205157" y="380736"/>
                <a:pt x="222055" y="358558"/>
              </a:cubicBezTo>
              <a:cubicBezTo>
                <a:pt x="247870" y="324676"/>
                <a:pt x="272700" y="289993"/>
                <a:pt x="299969" y="257270"/>
              </a:cubicBezTo>
              <a:cubicBezTo>
                <a:pt x="317691" y="236003"/>
                <a:pt x="324526" y="226056"/>
                <a:pt x="346718" y="210522"/>
              </a:cubicBezTo>
              <a:cubicBezTo>
                <a:pt x="351476" y="207192"/>
                <a:pt x="356909" y="204887"/>
                <a:pt x="362301" y="202730"/>
              </a:cubicBezTo>
              <a:cubicBezTo>
                <a:pt x="369926" y="199680"/>
                <a:pt x="385675" y="194939"/>
                <a:pt x="385675" y="194939"/>
              </a:cubicBezTo>
              <a:cubicBezTo>
                <a:pt x="414568" y="175675"/>
                <a:pt x="382951" y="197858"/>
                <a:pt x="405154" y="179356"/>
              </a:cubicBezTo>
              <a:cubicBezTo>
                <a:pt x="410142" y="175200"/>
                <a:pt x="415932" y="172036"/>
                <a:pt x="420736" y="167669"/>
              </a:cubicBezTo>
              <a:cubicBezTo>
                <a:pt x="430248" y="159022"/>
                <a:pt x="437722" y="148112"/>
                <a:pt x="448006" y="140399"/>
              </a:cubicBezTo>
              <a:cubicBezTo>
                <a:pt x="451529" y="137756"/>
                <a:pt x="469584" y="123766"/>
                <a:pt x="475276" y="120920"/>
              </a:cubicBezTo>
              <a:cubicBezTo>
                <a:pt x="478949" y="119084"/>
                <a:pt x="490636" y="115188"/>
                <a:pt x="486963" y="117025"/>
              </a:cubicBezTo>
              <a:cubicBezTo>
                <a:pt x="480709" y="120153"/>
                <a:pt x="473740" y="121689"/>
                <a:pt x="467485" y="124816"/>
              </a:cubicBezTo>
              <a:cubicBezTo>
                <a:pt x="450730" y="133193"/>
                <a:pt x="457470" y="134770"/>
                <a:pt x="440215" y="148190"/>
              </a:cubicBezTo>
              <a:cubicBezTo>
                <a:pt x="379644" y="195300"/>
                <a:pt x="484850" y="95762"/>
                <a:pt x="385675" y="194939"/>
              </a:cubicBezTo>
              <a:lnTo>
                <a:pt x="350614" y="230000"/>
              </a:lnTo>
              <a:cubicBezTo>
                <a:pt x="331598" y="252819"/>
                <a:pt x="313766" y="272528"/>
                <a:pt x="299969" y="300123"/>
              </a:cubicBezTo>
              <a:cubicBezTo>
                <a:pt x="294775" y="310511"/>
                <a:pt x="289042" y="320647"/>
                <a:pt x="284387" y="331288"/>
              </a:cubicBezTo>
              <a:cubicBezTo>
                <a:pt x="279940" y="341453"/>
                <a:pt x="275989" y="351858"/>
                <a:pt x="272700" y="362454"/>
              </a:cubicBezTo>
              <a:cubicBezTo>
                <a:pt x="264294" y="389541"/>
                <a:pt x="254887" y="416453"/>
                <a:pt x="249325" y="444264"/>
              </a:cubicBezTo>
              <a:cubicBezTo>
                <a:pt x="242937" y="476203"/>
                <a:pt x="237418" y="500785"/>
                <a:pt x="233742" y="533865"/>
              </a:cubicBezTo>
              <a:cubicBezTo>
                <a:pt x="224481" y="617209"/>
                <a:pt x="228021" y="608406"/>
                <a:pt x="222055" y="678006"/>
              </a:cubicBezTo>
              <a:cubicBezTo>
                <a:pt x="219716" y="705299"/>
                <a:pt x="216689" y="732530"/>
                <a:pt x="214264" y="759816"/>
              </a:cubicBezTo>
              <a:cubicBezTo>
                <a:pt x="211495" y="790967"/>
                <a:pt x="208934" y="822136"/>
                <a:pt x="206473" y="853313"/>
              </a:cubicBezTo>
              <a:cubicBezTo>
                <a:pt x="205039" y="871483"/>
                <a:pt x="204091" y="889690"/>
                <a:pt x="202577" y="907853"/>
              </a:cubicBezTo>
              <a:cubicBezTo>
                <a:pt x="201493" y="920858"/>
                <a:pt x="199980" y="933824"/>
                <a:pt x="198681" y="946810"/>
              </a:cubicBezTo>
              <a:cubicBezTo>
                <a:pt x="199980" y="989663"/>
                <a:pt x="199593" y="1032600"/>
                <a:pt x="202577" y="1075368"/>
              </a:cubicBezTo>
              <a:cubicBezTo>
                <a:pt x="203499" y="1088579"/>
                <a:pt x="206846" y="1101559"/>
                <a:pt x="210368" y="1114325"/>
              </a:cubicBezTo>
              <a:cubicBezTo>
                <a:pt x="231436" y="1190700"/>
                <a:pt x="231378" y="1181529"/>
                <a:pt x="261012" y="1250675"/>
              </a:cubicBezTo>
              <a:cubicBezTo>
                <a:pt x="266646" y="1263820"/>
                <a:pt x="267534" y="1271486"/>
                <a:pt x="276595" y="1281841"/>
              </a:cubicBezTo>
              <a:cubicBezTo>
                <a:pt x="282642" y="1288751"/>
                <a:pt x="287070" y="1299518"/>
                <a:pt x="296074" y="1301319"/>
              </a:cubicBezTo>
              <a:lnTo>
                <a:pt x="315552" y="1305215"/>
              </a:lnTo>
              <a:cubicBezTo>
                <a:pt x="297834" y="1278637"/>
                <a:pt x="318987" y="1307121"/>
                <a:pt x="296074" y="1285736"/>
              </a:cubicBezTo>
              <a:cubicBezTo>
                <a:pt x="275484" y="1266519"/>
                <a:pt x="234478" y="1226548"/>
                <a:pt x="218160" y="1200031"/>
              </a:cubicBezTo>
              <a:cubicBezTo>
                <a:pt x="193201" y="1159472"/>
                <a:pt x="173083" y="1102923"/>
                <a:pt x="155828" y="1059785"/>
              </a:cubicBezTo>
              <a:cubicBezTo>
                <a:pt x="139642" y="978855"/>
                <a:pt x="131075" y="943567"/>
                <a:pt x="120767" y="861104"/>
              </a:cubicBezTo>
              <a:cubicBezTo>
                <a:pt x="112873" y="797954"/>
                <a:pt x="112086" y="756711"/>
                <a:pt x="109080" y="693589"/>
              </a:cubicBezTo>
              <a:cubicBezTo>
                <a:pt x="111677" y="649438"/>
                <a:pt x="112192" y="605114"/>
                <a:pt x="116871" y="561135"/>
              </a:cubicBezTo>
              <a:cubicBezTo>
                <a:pt x="120760" y="524575"/>
                <a:pt x="133191" y="496731"/>
                <a:pt x="148037" y="463742"/>
              </a:cubicBezTo>
              <a:cubicBezTo>
                <a:pt x="152803" y="453150"/>
                <a:pt x="159045" y="443252"/>
                <a:pt x="163620" y="432577"/>
              </a:cubicBezTo>
              <a:cubicBezTo>
                <a:pt x="166855" y="425028"/>
                <a:pt x="168996" y="417053"/>
                <a:pt x="171411" y="409203"/>
              </a:cubicBezTo>
              <a:cubicBezTo>
                <a:pt x="177597" y="389098"/>
                <a:pt x="181346" y="369856"/>
                <a:pt x="190890" y="350767"/>
              </a:cubicBezTo>
              <a:cubicBezTo>
                <a:pt x="193171" y="346205"/>
                <a:pt x="242029" y="253849"/>
                <a:pt x="261012" y="222209"/>
              </a:cubicBezTo>
              <a:cubicBezTo>
                <a:pt x="278234" y="193506"/>
                <a:pt x="278967" y="191296"/>
                <a:pt x="299969" y="167669"/>
              </a:cubicBezTo>
              <a:cubicBezTo>
                <a:pt x="304882" y="162142"/>
                <a:pt x="315644" y="150990"/>
                <a:pt x="323344" y="148190"/>
              </a:cubicBezTo>
              <a:cubicBezTo>
                <a:pt x="333407" y="144531"/>
                <a:pt x="344009" y="142499"/>
                <a:pt x="354509" y="140399"/>
              </a:cubicBezTo>
              <a:cubicBezTo>
                <a:pt x="384254" y="134450"/>
                <a:pt x="367418" y="137324"/>
                <a:pt x="405154" y="132607"/>
              </a:cubicBezTo>
              <a:cubicBezTo>
                <a:pt x="410348" y="130010"/>
                <a:pt x="415398" y="127104"/>
                <a:pt x="420736" y="124816"/>
              </a:cubicBezTo>
              <a:cubicBezTo>
                <a:pt x="424510" y="123198"/>
                <a:pt x="434536" y="117399"/>
                <a:pt x="432423" y="120920"/>
              </a:cubicBezTo>
              <a:cubicBezTo>
                <a:pt x="413096" y="153133"/>
                <a:pt x="415091" y="135834"/>
                <a:pt x="397362" y="152086"/>
              </a:cubicBezTo>
              <a:cubicBezTo>
                <a:pt x="385178" y="163254"/>
                <a:pt x="373988" y="175460"/>
                <a:pt x="362301" y="187147"/>
              </a:cubicBezTo>
              <a:cubicBezTo>
                <a:pt x="313344" y="236104"/>
                <a:pt x="300388" y="245901"/>
                <a:pt x="253221" y="319601"/>
              </a:cubicBezTo>
              <a:cubicBezTo>
                <a:pt x="232444" y="352065"/>
                <a:pt x="208127" y="382519"/>
                <a:pt x="190890" y="416994"/>
              </a:cubicBezTo>
              <a:cubicBezTo>
                <a:pt x="172083" y="454608"/>
                <a:pt x="167040" y="462925"/>
                <a:pt x="151933" y="498804"/>
              </a:cubicBezTo>
              <a:cubicBezTo>
                <a:pt x="146506" y="511694"/>
                <a:pt x="140773" y="524493"/>
                <a:pt x="136350" y="537761"/>
              </a:cubicBezTo>
              <a:cubicBezTo>
                <a:pt x="125179" y="571273"/>
                <a:pt x="114478" y="604969"/>
                <a:pt x="105184" y="639049"/>
              </a:cubicBezTo>
              <a:cubicBezTo>
                <a:pt x="101288" y="653333"/>
                <a:pt x="96709" y="667449"/>
                <a:pt x="93497" y="681902"/>
              </a:cubicBezTo>
              <a:cubicBezTo>
                <a:pt x="91505" y="690866"/>
                <a:pt x="90997" y="700096"/>
                <a:pt x="89601" y="709172"/>
              </a:cubicBezTo>
              <a:cubicBezTo>
                <a:pt x="88400" y="716979"/>
                <a:pt x="87004" y="724755"/>
                <a:pt x="85706" y="732546"/>
              </a:cubicBezTo>
              <a:cubicBezTo>
                <a:pt x="84407" y="749427"/>
                <a:pt x="83583" y="766352"/>
                <a:pt x="81810" y="783190"/>
              </a:cubicBezTo>
              <a:cubicBezTo>
                <a:pt x="80983" y="791046"/>
                <a:pt x="77706" y="798669"/>
                <a:pt x="77914" y="806565"/>
              </a:cubicBezTo>
              <a:cubicBezTo>
                <a:pt x="79009" y="848186"/>
                <a:pt x="81231" y="889833"/>
                <a:pt x="85706" y="931227"/>
              </a:cubicBezTo>
              <a:cubicBezTo>
                <a:pt x="86458" y="938180"/>
                <a:pt x="90370" y="944451"/>
                <a:pt x="93497" y="950706"/>
              </a:cubicBezTo>
              <a:cubicBezTo>
                <a:pt x="103660" y="971033"/>
                <a:pt x="118411" y="987373"/>
                <a:pt x="132454" y="1005246"/>
              </a:cubicBezTo>
              <a:cubicBezTo>
                <a:pt x="137591" y="1011784"/>
                <a:pt x="143425" y="1017806"/>
                <a:pt x="148037" y="1024724"/>
              </a:cubicBezTo>
              <a:cubicBezTo>
                <a:pt x="150634" y="1028620"/>
                <a:pt x="152517" y="1033100"/>
                <a:pt x="155828" y="1036411"/>
              </a:cubicBezTo>
              <a:cubicBezTo>
                <a:pt x="159139" y="1039722"/>
                <a:pt x="163451" y="1041880"/>
                <a:pt x="167516" y="1044203"/>
              </a:cubicBezTo>
              <a:cubicBezTo>
                <a:pt x="183798" y="1053507"/>
                <a:pt x="181078" y="1049241"/>
                <a:pt x="194785" y="1059785"/>
              </a:cubicBezTo>
              <a:cubicBezTo>
                <a:pt x="207966" y="1069924"/>
                <a:pt x="220210" y="1081285"/>
                <a:pt x="233742" y="1090951"/>
              </a:cubicBezTo>
              <a:cubicBezTo>
                <a:pt x="242832" y="1097444"/>
                <a:pt x="252244" y="1103508"/>
                <a:pt x="261012" y="1110430"/>
              </a:cubicBezTo>
              <a:cubicBezTo>
                <a:pt x="276933" y="1122999"/>
                <a:pt x="293417" y="1135044"/>
                <a:pt x="307761" y="1149387"/>
              </a:cubicBezTo>
              <a:cubicBezTo>
                <a:pt x="317816" y="1159441"/>
                <a:pt x="326413" y="1169506"/>
                <a:pt x="338927" y="1176657"/>
              </a:cubicBezTo>
              <a:cubicBezTo>
                <a:pt x="342492" y="1178694"/>
                <a:pt x="346718" y="1179254"/>
                <a:pt x="350614" y="1180552"/>
              </a:cubicBezTo>
              <a:lnTo>
                <a:pt x="288282" y="1067577"/>
              </a:lnTo>
              <a:cubicBezTo>
                <a:pt x="281815" y="1055875"/>
                <a:pt x="276034" y="1043761"/>
                <a:pt x="268804" y="1032515"/>
              </a:cubicBezTo>
              <a:lnTo>
                <a:pt x="233742" y="977976"/>
              </a:lnTo>
              <a:cubicBezTo>
                <a:pt x="231145" y="970184"/>
                <a:pt x="227943" y="962569"/>
                <a:pt x="225951" y="954601"/>
              </a:cubicBezTo>
              <a:cubicBezTo>
                <a:pt x="221767" y="937863"/>
                <a:pt x="220478" y="911931"/>
                <a:pt x="218160" y="896166"/>
              </a:cubicBezTo>
              <a:cubicBezTo>
                <a:pt x="213377" y="863639"/>
                <a:pt x="210551" y="830669"/>
                <a:pt x="202577" y="798773"/>
              </a:cubicBezTo>
              <a:cubicBezTo>
                <a:pt x="198681" y="783190"/>
                <a:pt x="194450" y="767688"/>
                <a:pt x="190890" y="752025"/>
              </a:cubicBezTo>
              <a:cubicBezTo>
                <a:pt x="185047" y="726317"/>
                <a:pt x="183188" y="713608"/>
                <a:pt x="179203" y="689693"/>
              </a:cubicBezTo>
              <a:cubicBezTo>
                <a:pt x="180501" y="620869"/>
                <a:pt x="180108" y="551992"/>
                <a:pt x="183098" y="483221"/>
              </a:cubicBezTo>
              <a:cubicBezTo>
                <a:pt x="184660" y="447303"/>
                <a:pt x="195032" y="397664"/>
                <a:pt x="202577" y="362454"/>
              </a:cubicBezTo>
              <a:cubicBezTo>
                <a:pt x="206207" y="345514"/>
                <a:pt x="209706" y="328525"/>
                <a:pt x="214264" y="311810"/>
              </a:cubicBezTo>
              <a:cubicBezTo>
                <a:pt x="217505" y="299925"/>
                <a:pt x="222277" y="288507"/>
                <a:pt x="225951" y="276749"/>
              </a:cubicBezTo>
              <a:cubicBezTo>
                <a:pt x="234397" y="249721"/>
                <a:pt x="230398" y="248186"/>
                <a:pt x="249325" y="226104"/>
              </a:cubicBezTo>
              <a:cubicBezTo>
                <a:pt x="258886" y="214949"/>
                <a:pt x="270102" y="205328"/>
                <a:pt x="280491" y="194939"/>
              </a:cubicBezTo>
              <a:cubicBezTo>
                <a:pt x="286984" y="188446"/>
                <a:pt x="292799" y="181196"/>
                <a:pt x="299969" y="175460"/>
              </a:cubicBezTo>
              <a:cubicBezTo>
                <a:pt x="306462" y="170266"/>
                <a:pt x="313233" y="165401"/>
                <a:pt x="319448" y="159877"/>
              </a:cubicBezTo>
              <a:cubicBezTo>
                <a:pt x="324938" y="154997"/>
                <a:pt x="329454" y="149075"/>
                <a:pt x="335031" y="144295"/>
              </a:cubicBezTo>
              <a:cubicBezTo>
                <a:pt x="338586" y="141248"/>
                <a:pt x="343219" y="139614"/>
                <a:pt x="346718" y="136503"/>
              </a:cubicBezTo>
              <a:cubicBezTo>
                <a:pt x="354953" y="129183"/>
                <a:pt x="362301" y="120920"/>
                <a:pt x="370092" y="113129"/>
              </a:cubicBezTo>
              <a:lnTo>
                <a:pt x="393466" y="89755"/>
              </a:lnTo>
              <a:lnTo>
                <a:pt x="436319" y="46902"/>
              </a:lnTo>
              <a:lnTo>
                <a:pt x="448006" y="35215"/>
              </a:lnTo>
              <a:lnTo>
                <a:pt x="455798" y="27423"/>
              </a:lnTo>
              <a:cubicBezTo>
                <a:pt x="454499" y="32617"/>
                <a:pt x="454872" y="38551"/>
                <a:pt x="451902" y="43006"/>
              </a:cubicBezTo>
              <a:cubicBezTo>
                <a:pt x="449305" y="46902"/>
                <a:pt x="443871" y="47873"/>
                <a:pt x="440215" y="50798"/>
              </a:cubicBezTo>
              <a:cubicBezTo>
                <a:pt x="437347" y="53092"/>
                <a:pt x="434718" y="55721"/>
                <a:pt x="432423" y="58589"/>
              </a:cubicBezTo>
              <a:cubicBezTo>
                <a:pt x="429498" y="62245"/>
                <a:pt x="427353" y="66466"/>
                <a:pt x="424632" y="70276"/>
              </a:cubicBezTo>
              <a:cubicBezTo>
                <a:pt x="420858" y="75560"/>
                <a:pt x="416386" y="80353"/>
                <a:pt x="412945" y="85859"/>
              </a:cubicBezTo>
              <a:cubicBezTo>
                <a:pt x="409867" y="90784"/>
                <a:pt x="408035" y="96400"/>
                <a:pt x="405154" y="101442"/>
              </a:cubicBezTo>
              <a:cubicBezTo>
                <a:pt x="402831" y="105507"/>
                <a:pt x="399685" y="109064"/>
                <a:pt x="397362" y="113129"/>
              </a:cubicBezTo>
              <a:cubicBezTo>
                <a:pt x="394481" y="118171"/>
                <a:pt x="392649" y="123787"/>
                <a:pt x="389571" y="128712"/>
              </a:cubicBezTo>
              <a:cubicBezTo>
                <a:pt x="386130" y="134218"/>
                <a:pt x="381037" y="138619"/>
                <a:pt x="377884" y="144295"/>
              </a:cubicBezTo>
              <a:cubicBezTo>
                <a:pt x="374488" y="150408"/>
                <a:pt x="373219" y="157518"/>
                <a:pt x="370092" y="163773"/>
              </a:cubicBezTo>
              <a:cubicBezTo>
                <a:pt x="366706" y="170546"/>
                <a:pt x="362470" y="176864"/>
                <a:pt x="358405" y="183252"/>
              </a:cubicBezTo>
              <a:cubicBezTo>
                <a:pt x="353378" y="191152"/>
                <a:pt x="346724" y="198113"/>
                <a:pt x="342822" y="206626"/>
              </a:cubicBezTo>
              <a:cubicBezTo>
                <a:pt x="332372" y="229425"/>
                <a:pt x="327732" y="254825"/>
                <a:pt x="315552" y="276749"/>
              </a:cubicBezTo>
              <a:cubicBezTo>
                <a:pt x="309059" y="288436"/>
                <a:pt x="301797" y="299728"/>
                <a:pt x="296074" y="311810"/>
              </a:cubicBezTo>
              <a:cubicBezTo>
                <a:pt x="284082" y="337127"/>
                <a:pt x="276148" y="362795"/>
                <a:pt x="268804" y="389724"/>
              </a:cubicBezTo>
              <a:cubicBezTo>
                <a:pt x="264578" y="405221"/>
                <a:pt x="261448" y="421005"/>
                <a:pt x="257117" y="436473"/>
              </a:cubicBezTo>
              <a:cubicBezTo>
                <a:pt x="240592" y="495489"/>
                <a:pt x="240273" y="477350"/>
                <a:pt x="233742" y="537761"/>
              </a:cubicBezTo>
              <a:cubicBezTo>
                <a:pt x="230381" y="568854"/>
                <a:pt x="228622" y="600099"/>
                <a:pt x="225951" y="631258"/>
              </a:cubicBezTo>
              <a:cubicBezTo>
                <a:pt x="224726" y="645549"/>
                <a:pt x="222055" y="674111"/>
                <a:pt x="222055" y="674111"/>
              </a:cubicBezTo>
              <a:cubicBezTo>
                <a:pt x="223354" y="765011"/>
                <a:pt x="222544" y="855965"/>
                <a:pt x="225951" y="946810"/>
              </a:cubicBezTo>
              <a:cubicBezTo>
                <a:pt x="226447" y="960044"/>
                <a:pt x="231869" y="972657"/>
                <a:pt x="233742" y="985767"/>
              </a:cubicBezTo>
              <a:cubicBezTo>
                <a:pt x="237068" y="1009049"/>
                <a:pt x="236432" y="1032932"/>
                <a:pt x="241534" y="1055890"/>
              </a:cubicBezTo>
              <a:cubicBezTo>
                <a:pt x="244131" y="1067577"/>
                <a:pt x="246036" y="1079440"/>
                <a:pt x="249325" y="1090951"/>
              </a:cubicBezTo>
              <a:cubicBezTo>
                <a:pt x="251246" y="1097675"/>
                <a:pt x="254662" y="1103882"/>
                <a:pt x="257117" y="1110430"/>
              </a:cubicBezTo>
              <a:cubicBezTo>
                <a:pt x="258559" y="1114275"/>
                <a:pt x="259884" y="1118169"/>
                <a:pt x="261012" y="1122117"/>
              </a:cubicBezTo>
              <a:cubicBezTo>
                <a:pt x="262483" y="1127265"/>
                <a:pt x="262513" y="1132911"/>
                <a:pt x="264908" y="1137700"/>
              </a:cubicBezTo>
              <a:cubicBezTo>
                <a:pt x="267812" y="1143507"/>
                <a:pt x="272994" y="1147880"/>
                <a:pt x="276595" y="1153282"/>
              </a:cubicBezTo>
              <a:cubicBezTo>
                <a:pt x="280795" y="1159582"/>
                <a:pt x="284217" y="1166373"/>
                <a:pt x="288282" y="1172761"/>
              </a:cubicBezTo>
              <a:cubicBezTo>
                <a:pt x="292746" y="1179777"/>
                <a:pt x="308453" y="1203732"/>
                <a:pt x="315552" y="1211718"/>
              </a:cubicBezTo>
              <a:cubicBezTo>
                <a:pt x="321652" y="1218581"/>
                <a:pt x="344035" y="1232996"/>
                <a:pt x="335031" y="1231196"/>
              </a:cubicBezTo>
              <a:lnTo>
                <a:pt x="315552" y="1227301"/>
              </a:lnTo>
              <a:cubicBezTo>
                <a:pt x="311656" y="1224704"/>
                <a:pt x="307930" y="1221832"/>
                <a:pt x="303865" y="1219509"/>
              </a:cubicBezTo>
              <a:cubicBezTo>
                <a:pt x="298823" y="1216628"/>
                <a:pt x="293040" y="1215048"/>
                <a:pt x="288282" y="1211718"/>
              </a:cubicBezTo>
              <a:cubicBezTo>
                <a:pt x="279973" y="1205902"/>
                <a:pt x="272384" y="1199092"/>
                <a:pt x="264908" y="1192239"/>
              </a:cubicBezTo>
              <a:cubicBezTo>
                <a:pt x="247251" y="1176053"/>
                <a:pt x="233295" y="1160223"/>
                <a:pt x="218160" y="1141595"/>
              </a:cubicBezTo>
              <a:cubicBezTo>
                <a:pt x="208824" y="1130104"/>
                <a:pt x="198683" y="1119123"/>
                <a:pt x="190890" y="1106534"/>
              </a:cubicBezTo>
              <a:cubicBezTo>
                <a:pt x="169466" y="1071926"/>
                <a:pt x="158113" y="1036918"/>
                <a:pt x="148037" y="997454"/>
              </a:cubicBezTo>
              <a:cubicBezTo>
                <a:pt x="137828" y="957468"/>
                <a:pt x="127551" y="917395"/>
                <a:pt x="120767" y="876687"/>
              </a:cubicBezTo>
              <a:cubicBezTo>
                <a:pt x="118170" y="861104"/>
                <a:pt x="115110" y="845592"/>
                <a:pt x="112976" y="829939"/>
              </a:cubicBezTo>
              <a:cubicBezTo>
                <a:pt x="111213" y="817008"/>
                <a:pt x="111115" y="803873"/>
                <a:pt x="109080" y="790982"/>
              </a:cubicBezTo>
              <a:cubicBezTo>
                <a:pt x="107213" y="779156"/>
                <a:pt x="103886" y="767607"/>
                <a:pt x="101289" y="755920"/>
              </a:cubicBezTo>
              <a:cubicBezTo>
                <a:pt x="95668" y="694096"/>
                <a:pt x="91380" y="656489"/>
                <a:pt x="93497" y="584509"/>
              </a:cubicBezTo>
              <a:cubicBezTo>
                <a:pt x="94838" y="538912"/>
                <a:pt x="98981" y="493353"/>
                <a:pt x="105184" y="448160"/>
              </a:cubicBezTo>
              <a:cubicBezTo>
                <a:pt x="108096" y="426942"/>
                <a:pt x="114683" y="406362"/>
                <a:pt x="120767" y="385828"/>
              </a:cubicBezTo>
              <a:cubicBezTo>
                <a:pt x="134362" y="339947"/>
                <a:pt x="174532" y="256874"/>
                <a:pt x="190890" y="230000"/>
              </a:cubicBezTo>
              <a:cubicBezTo>
                <a:pt x="209070" y="200133"/>
                <a:pt x="227579" y="170464"/>
                <a:pt x="245430" y="140399"/>
              </a:cubicBezTo>
              <a:cubicBezTo>
                <a:pt x="252256" y="128903"/>
                <a:pt x="258275" y="116946"/>
                <a:pt x="264908" y="105338"/>
              </a:cubicBezTo>
              <a:cubicBezTo>
                <a:pt x="268665" y="98764"/>
                <a:pt x="271240" y="91213"/>
                <a:pt x="276595" y="85859"/>
              </a:cubicBezTo>
              <a:cubicBezTo>
                <a:pt x="279192" y="83262"/>
                <a:pt x="282092" y="80936"/>
                <a:pt x="284387" y="78068"/>
              </a:cubicBezTo>
              <a:cubicBezTo>
                <a:pt x="287312" y="74412"/>
                <a:pt x="287990" y="68475"/>
                <a:pt x="292178" y="66381"/>
              </a:cubicBezTo>
              <a:cubicBezTo>
                <a:pt x="299243" y="62848"/>
                <a:pt x="307697" y="63312"/>
                <a:pt x="315552" y="62485"/>
              </a:cubicBezTo>
              <a:cubicBezTo>
                <a:pt x="332390" y="60712"/>
                <a:pt x="349315" y="59888"/>
                <a:pt x="366196" y="58589"/>
              </a:cubicBezTo>
              <a:cubicBezTo>
                <a:pt x="375286" y="59888"/>
                <a:pt x="386120" y="56976"/>
                <a:pt x="393466" y="62485"/>
              </a:cubicBezTo>
              <a:cubicBezTo>
                <a:pt x="397212" y="65294"/>
                <a:pt x="385278" y="67166"/>
                <a:pt x="381779" y="70276"/>
              </a:cubicBezTo>
              <a:cubicBezTo>
                <a:pt x="373544" y="77596"/>
                <a:pt x="367573" y="87538"/>
                <a:pt x="358405" y="93650"/>
              </a:cubicBezTo>
              <a:cubicBezTo>
                <a:pt x="350614" y="98844"/>
                <a:pt x="343406" y="105045"/>
                <a:pt x="335031" y="109233"/>
              </a:cubicBezTo>
              <a:cubicBezTo>
                <a:pt x="329837" y="111830"/>
                <a:pt x="324174" y="113649"/>
                <a:pt x="319448" y="117025"/>
              </a:cubicBezTo>
              <a:cubicBezTo>
                <a:pt x="314965" y="120227"/>
                <a:pt x="311944" y="125127"/>
                <a:pt x="307761" y="128712"/>
              </a:cubicBezTo>
              <a:cubicBezTo>
                <a:pt x="290098" y="143851"/>
                <a:pt x="280525" y="144243"/>
                <a:pt x="264908" y="167669"/>
              </a:cubicBezTo>
              <a:cubicBezTo>
                <a:pt x="224876" y="227716"/>
                <a:pt x="275706" y="153270"/>
                <a:pt x="229847" y="214417"/>
              </a:cubicBezTo>
              <a:cubicBezTo>
                <a:pt x="224228" y="221909"/>
                <a:pt x="219458" y="230000"/>
                <a:pt x="214264" y="237792"/>
              </a:cubicBezTo>
              <a:cubicBezTo>
                <a:pt x="211667" y="245583"/>
                <a:pt x="209280" y="253448"/>
                <a:pt x="206473" y="261166"/>
              </a:cubicBezTo>
              <a:cubicBezTo>
                <a:pt x="204083" y="267738"/>
                <a:pt x="200691" y="273946"/>
                <a:pt x="198681" y="280644"/>
              </a:cubicBezTo>
              <a:cubicBezTo>
                <a:pt x="196778" y="286986"/>
                <a:pt x="195969" y="293608"/>
                <a:pt x="194785" y="300123"/>
              </a:cubicBezTo>
              <a:cubicBezTo>
                <a:pt x="189181" y="330949"/>
                <a:pt x="192240" y="317544"/>
                <a:pt x="186994" y="350767"/>
              </a:cubicBezTo>
              <a:cubicBezTo>
                <a:pt x="184530" y="366371"/>
                <a:pt x="182186" y="382002"/>
                <a:pt x="179203" y="397515"/>
              </a:cubicBezTo>
              <a:cubicBezTo>
                <a:pt x="175692" y="415773"/>
                <a:pt x="170645" y="433727"/>
                <a:pt x="167516" y="452055"/>
              </a:cubicBezTo>
              <a:cubicBezTo>
                <a:pt x="161551" y="486993"/>
                <a:pt x="151933" y="557239"/>
                <a:pt x="151933" y="557239"/>
              </a:cubicBezTo>
              <a:cubicBezTo>
                <a:pt x="153231" y="631258"/>
                <a:pt x="152362" y="705346"/>
                <a:pt x="155828" y="779295"/>
              </a:cubicBezTo>
              <a:cubicBezTo>
                <a:pt x="156425" y="792039"/>
                <a:pt x="166852" y="813506"/>
                <a:pt x="171411" y="826043"/>
              </a:cubicBezTo>
              <a:cubicBezTo>
                <a:pt x="174218" y="833761"/>
                <a:pt x="176843" y="841551"/>
                <a:pt x="179203" y="849417"/>
              </a:cubicBezTo>
              <a:cubicBezTo>
                <a:pt x="180741" y="854545"/>
                <a:pt x="180704" y="860211"/>
                <a:pt x="183098" y="865000"/>
              </a:cubicBezTo>
              <a:cubicBezTo>
                <a:pt x="187286" y="873376"/>
                <a:pt x="195720" y="879491"/>
                <a:pt x="198681" y="888374"/>
              </a:cubicBezTo>
              <a:cubicBezTo>
                <a:pt x="199980" y="892270"/>
                <a:pt x="201449" y="896113"/>
                <a:pt x="202577" y="900061"/>
              </a:cubicBezTo>
              <a:cubicBezTo>
                <a:pt x="204048" y="905209"/>
                <a:pt x="204780" y="910565"/>
                <a:pt x="206473" y="915644"/>
              </a:cubicBezTo>
              <a:cubicBezTo>
                <a:pt x="208684" y="922278"/>
                <a:pt x="212053" y="928489"/>
                <a:pt x="214264" y="935123"/>
              </a:cubicBezTo>
              <a:cubicBezTo>
                <a:pt x="215957" y="940202"/>
                <a:pt x="216621" y="945578"/>
                <a:pt x="218160" y="950706"/>
              </a:cubicBezTo>
              <a:cubicBezTo>
                <a:pt x="220520" y="958572"/>
                <a:pt x="220144" y="968273"/>
                <a:pt x="225951" y="974080"/>
              </a:cubicBezTo>
              <a:cubicBezTo>
                <a:pt x="250716" y="998845"/>
                <a:pt x="224330" y="971357"/>
                <a:pt x="249325" y="1001350"/>
              </a:cubicBezTo>
              <a:cubicBezTo>
                <a:pt x="251676" y="1004172"/>
                <a:pt x="254822" y="1006273"/>
                <a:pt x="257117" y="1009141"/>
              </a:cubicBezTo>
              <a:cubicBezTo>
                <a:pt x="276780" y="1033719"/>
                <a:pt x="253882" y="1009802"/>
                <a:pt x="272700" y="1028620"/>
              </a:cubicBezTo>
              <a:cubicBezTo>
                <a:pt x="271401" y="1024724"/>
                <a:pt x="271369" y="1020140"/>
                <a:pt x="268804" y="1016933"/>
              </a:cubicBezTo>
              <a:cubicBezTo>
                <a:pt x="265879" y="1013277"/>
                <a:pt x="260773" y="1012066"/>
                <a:pt x="257117" y="1009141"/>
              </a:cubicBezTo>
              <a:cubicBezTo>
                <a:pt x="254249" y="1006847"/>
                <a:pt x="251922" y="1003947"/>
                <a:pt x="249325" y="1001350"/>
              </a:cubicBezTo>
              <a:cubicBezTo>
                <a:pt x="248027" y="997454"/>
                <a:pt x="247266" y="993336"/>
                <a:pt x="245430" y="989663"/>
              </a:cubicBezTo>
              <a:cubicBezTo>
                <a:pt x="243336" y="985475"/>
                <a:pt x="240359" y="981786"/>
                <a:pt x="237638" y="977976"/>
              </a:cubicBezTo>
              <a:cubicBezTo>
                <a:pt x="227372" y="963604"/>
                <a:pt x="215955" y="950024"/>
                <a:pt x="206473" y="935123"/>
              </a:cubicBezTo>
              <a:cubicBezTo>
                <a:pt x="197383" y="920839"/>
                <a:pt x="187230" y="907178"/>
                <a:pt x="179203" y="892270"/>
              </a:cubicBezTo>
              <a:cubicBezTo>
                <a:pt x="169012" y="873344"/>
                <a:pt x="159234" y="854051"/>
                <a:pt x="151933" y="833834"/>
              </a:cubicBezTo>
              <a:cubicBezTo>
                <a:pt x="132840" y="780962"/>
                <a:pt x="120918" y="716881"/>
                <a:pt x="109080" y="662423"/>
              </a:cubicBezTo>
              <a:cubicBezTo>
                <a:pt x="107781" y="633855"/>
                <a:pt x="107086" y="605252"/>
                <a:pt x="105184" y="576718"/>
              </a:cubicBezTo>
              <a:cubicBezTo>
                <a:pt x="103190" y="546805"/>
                <a:pt x="96946" y="517093"/>
                <a:pt x="97393" y="487117"/>
              </a:cubicBezTo>
              <a:cubicBezTo>
                <a:pt x="98248" y="429854"/>
                <a:pt x="102099" y="372549"/>
                <a:pt x="109080" y="315706"/>
              </a:cubicBezTo>
              <a:cubicBezTo>
                <a:pt x="111233" y="298175"/>
                <a:pt x="118722" y="281695"/>
                <a:pt x="124663" y="265061"/>
              </a:cubicBezTo>
              <a:cubicBezTo>
                <a:pt x="141740" y="217247"/>
                <a:pt x="166819" y="159154"/>
                <a:pt x="198681" y="120920"/>
              </a:cubicBezTo>
              <a:lnTo>
                <a:pt x="237638" y="74172"/>
              </a:lnTo>
              <a:cubicBezTo>
                <a:pt x="244131" y="66381"/>
                <a:pt x="250695" y="58648"/>
                <a:pt x="257117" y="50798"/>
              </a:cubicBezTo>
              <a:cubicBezTo>
                <a:pt x="262382" y="44363"/>
                <a:pt x="266820" y="37199"/>
                <a:pt x="272700" y="31319"/>
              </a:cubicBezTo>
              <a:lnTo>
                <a:pt x="284387" y="19632"/>
              </a:lnTo>
              <a:cubicBezTo>
                <a:pt x="284661" y="18809"/>
                <a:pt x="289656" y="-1986"/>
                <a:pt x="296074" y="154"/>
              </a:cubicBezTo>
              <a:cubicBezTo>
                <a:pt x="299970" y="1453"/>
                <a:pt x="298671" y="7945"/>
                <a:pt x="299969" y="11841"/>
              </a:cubicBezTo>
              <a:cubicBezTo>
                <a:pt x="298671" y="17035"/>
                <a:pt x="298772" y="22798"/>
                <a:pt x="296074" y="27423"/>
              </a:cubicBezTo>
              <a:cubicBezTo>
                <a:pt x="289531" y="38640"/>
                <a:pt x="280491" y="48200"/>
                <a:pt x="272700" y="58589"/>
              </a:cubicBezTo>
              <a:cubicBezTo>
                <a:pt x="268804" y="63783"/>
                <a:pt x="263916" y="68364"/>
                <a:pt x="261012" y="74172"/>
              </a:cubicBezTo>
              <a:cubicBezTo>
                <a:pt x="245007" y="106183"/>
                <a:pt x="261479" y="71401"/>
                <a:pt x="245430" y="113129"/>
              </a:cubicBezTo>
              <a:cubicBezTo>
                <a:pt x="235389" y="139237"/>
                <a:pt x="224653" y="165072"/>
                <a:pt x="214264" y="191043"/>
              </a:cubicBezTo>
              <a:lnTo>
                <a:pt x="190890" y="249479"/>
              </a:lnTo>
              <a:cubicBezTo>
                <a:pt x="188293" y="271555"/>
                <a:pt x="186530" y="293745"/>
                <a:pt x="183098" y="315706"/>
              </a:cubicBezTo>
              <a:cubicBezTo>
                <a:pt x="180031" y="335332"/>
                <a:pt x="175128" y="354628"/>
                <a:pt x="171411" y="374141"/>
              </a:cubicBezTo>
              <a:cubicBezTo>
                <a:pt x="169933" y="381900"/>
                <a:pt x="168388" y="389665"/>
                <a:pt x="167516" y="397515"/>
              </a:cubicBezTo>
              <a:cubicBezTo>
                <a:pt x="159747" y="467441"/>
                <a:pt x="168679" y="422085"/>
                <a:pt x="155828" y="494908"/>
              </a:cubicBezTo>
              <a:cubicBezTo>
                <a:pt x="136072" y="606861"/>
                <a:pt x="143823" y="540952"/>
                <a:pt x="136350" y="615675"/>
              </a:cubicBezTo>
              <a:cubicBezTo>
                <a:pt x="137649" y="646841"/>
                <a:pt x="138300" y="678040"/>
                <a:pt x="140246" y="709172"/>
              </a:cubicBezTo>
              <a:cubicBezTo>
                <a:pt x="140899" y="719621"/>
                <a:pt x="141947" y="730101"/>
                <a:pt x="144141" y="740338"/>
              </a:cubicBezTo>
              <a:cubicBezTo>
                <a:pt x="145862" y="748369"/>
                <a:pt x="151933" y="763712"/>
                <a:pt x="151933" y="763712"/>
              </a:cubicBezTo>
              <a:cubicBezTo>
                <a:pt x="91452" y="824185"/>
                <a:pt x="200961" y="719336"/>
                <a:pt x="140246" y="759816"/>
              </a:cubicBezTo>
              <a:cubicBezTo>
                <a:pt x="134427" y="763695"/>
                <a:pt x="135448" y="772975"/>
                <a:pt x="132454" y="779295"/>
              </a:cubicBezTo>
              <a:cubicBezTo>
                <a:pt x="91485" y="865785"/>
                <a:pt x="65582" y="909041"/>
                <a:pt x="35062" y="993558"/>
              </a:cubicBezTo>
              <a:cubicBezTo>
                <a:pt x="28640" y="1011342"/>
                <a:pt x="24814" y="1029959"/>
                <a:pt x="19479" y="1048098"/>
              </a:cubicBezTo>
              <a:cubicBezTo>
                <a:pt x="18320" y="1052038"/>
                <a:pt x="16882" y="1055889"/>
                <a:pt x="15583" y="1059785"/>
              </a:cubicBezTo>
              <a:cubicBezTo>
                <a:pt x="14284" y="1132505"/>
                <a:pt x="15380" y="1205307"/>
                <a:pt x="11687" y="1277945"/>
              </a:cubicBezTo>
              <a:cubicBezTo>
                <a:pt x="11449" y="1282621"/>
                <a:pt x="7206" y="1292943"/>
                <a:pt x="3896" y="1289632"/>
              </a:cubicBezTo>
              <a:cubicBezTo>
                <a:pt x="110" y="1285846"/>
                <a:pt x="6742" y="1279299"/>
                <a:pt x="7792" y="1274049"/>
              </a:cubicBezTo>
              <a:cubicBezTo>
                <a:pt x="13984" y="1243086"/>
                <a:pt x="14162" y="1210950"/>
                <a:pt x="23374" y="1180552"/>
              </a:cubicBezTo>
              <a:cubicBezTo>
                <a:pt x="32545" y="1150289"/>
                <a:pt x="41697" y="1119848"/>
                <a:pt x="54540" y="1090951"/>
              </a:cubicBezTo>
              <a:cubicBezTo>
                <a:pt x="69430" y="1057450"/>
                <a:pt x="74987" y="1043516"/>
                <a:pt x="93497" y="1009141"/>
              </a:cubicBezTo>
              <a:cubicBezTo>
                <a:pt x="112513" y="973826"/>
                <a:pt x="135336" y="940471"/>
                <a:pt x="151933" y="903957"/>
              </a:cubicBezTo>
              <a:cubicBezTo>
                <a:pt x="169599" y="865090"/>
                <a:pt x="170429" y="865835"/>
                <a:pt x="183098" y="829939"/>
              </a:cubicBezTo>
              <a:cubicBezTo>
                <a:pt x="187198" y="818322"/>
                <a:pt x="191797" y="806829"/>
                <a:pt x="194785" y="794877"/>
              </a:cubicBezTo>
              <a:cubicBezTo>
                <a:pt x="196084" y="789683"/>
                <a:pt x="203470" y="776900"/>
                <a:pt x="198681" y="779295"/>
              </a:cubicBezTo>
              <a:cubicBezTo>
                <a:pt x="189610" y="783831"/>
                <a:pt x="184829" y="794230"/>
                <a:pt x="179203" y="802669"/>
              </a:cubicBezTo>
              <a:cubicBezTo>
                <a:pt x="166866" y="821174"/>
                <a:pt x="126934" y="902787"/>
                <a:pt x="124663" y="907853"/>
              </a:cubicBezTo>
              <a:cubicBezTo>
                <a:pt x="83956" y="998661"/>
                <a:pt x="60935" y="1048422"/>
                <a:pt x="35062" y="1133804"/>
              </a:cubicBezTo>
              <a:cubicBezTo>
                <a:pt x="29216" y="1153097"/>
                <a:pt x="24368" y="1172682"/>
                <a:pt x="19479" y="1192239"/>
              </a:cubicBezTo>
              <a:cubicBezTo>
                <a:pt x="12680" y="1219434"/>
                <a:pt x="0" y="1274049"/>
                <a:pt x="0" y="1274049"/>
              </a:cubicBezTo>
              <a:cubicBezTo>
                <a:pt x="12958" y="1429532"/>
                <a:pt x="-5827" y="1225193"/>
                <a:pt x="11687" y="1051994"/>
              </a:cubicBezTo>
              <a:cubicBezTo>
                <a:pt x="14455" y="1024617"/>
                <a:pt x="28374" y="999479"/>
                <a:pt x="38957" y="974080"/>
              </a:cubicBezTo>
              <a:cubicBezTo>
                <a:pt x="45450" y="958497"/>
                <a:pt x="52573" y="943162"/>
                <a:pt x="58436" y="927331"/>
              </a:cubicBezTo>
              <a:cubicBezTo>
                <a:pt x="65567" y="908077"/>
                <a:pt x="77914" y="868896"/>
                <a:pt x="77914" y="868896"/>
              </a:cubicBezTo>
              <a:cubicBezTo>
                <a:pt x="78173" y="867085"/>
                <a:pt x="83307" y="827544"/>
                <a:pt x="85706" y="822147"/>
              </a:cubicBezTo>
              <a:cubicBezTo>
                <a:pt x="88343" y="816214"/>
                <a:pt x="93715" y="811915"/>
                <a:pt x="97393" y="806565"/>
              </a:cubicBezTo>
              <a:cubicBezTo>
                <a:pt x="108003" y="791132"/>
                <a:pt x="118169" y="775399"/>
                <a:pt x="128558" y="759816"/>
              </a:cubicBezTo>
              <a:cubicBezTo>
                <a:pt x="131155" y="755920"/>
                <a:pt x="134256" y="752317"/>
                <a:pt x="136350" y="748129"/>
              </a:cubicBezTo>
              <a:cubicBezTo>
                <a:pt x="138947" y="742935"/>
                <a:pt x="142102" y="737984"/>
                <a:pt x="144141" y="732546"/>
              </a:cubicBezTo>
              <a:cubicBezTo>
                <a:pt x="146021" y="727533"/>
                <a:pt x="146498" y="722091"/>
                <a:pt x="148037" y="716963"/>
              </a:cubicBezTo>
              <a:cubicBezTo>
                <a:pt x="150397" y="709097"/>
                <a:pt x="152880" y="701254"/>
                <a:pt x="155828" y="693589"/>
              </a:cubicBezTo>
              <a:cubicBezTo>
                <a:pt x="159378" y="684358"/>
                <a:pt x="163093" y="675165"/>
                <a:pt x="167516" y="666319"/>
              </a:cubicBezTo>
              <a:cubicBezTo>
                <a:pt x="177402" y="646548"/>
                <a:pt x="179490" y="650019"/>
                <a:pt x="186994" y="631258"/>
              </a:cubicBezTo>
              <a:cubicBezTo>
                <a:pt x="190044" y="623633"/>
                <a:pt x="194785" y="607884"/>
                <a:pt x="194785" y="607884"/>
              </a:cubicBezTo>
              <a:cubicBezTo>
                <a:pt x="185819" y="563042"/>
                <a:pt x="191442" y="607918"/>
                <a:pt x="194785" y="576718"/>
              </a:cubicBezTo>
              <a:cubicBezTo>
                <a:pt x="198255" y="544335"/>
                <a:pt x="198273" y="511607"/>
                <a:pt x="202577" y="479325"/>
              </a:cubicBezTo>
              <a:cubicBezTo>
                <a:pt x="211888" y="409492"/>
                <a:pt x="222414" y="391286"/>
                <a:pt x="241534" y="323497"/>
              </a:cubicBezTo>
              <a:cubicBezTo>
                <a:pt x="248460" y="298942"/>
                <a:pt x="254003" y="274010"/>
                <a:pt x="261012" y="249479"/>
              </a:cubicBezTo>
              <a:cubicBezTo>
                <a:pt x="264396" y="237633"/>
                <a:pt x="269077" y="226192"/>
                <a:pt x="272700" y="214417"/>
              </a:cubicBezTo>
              <a:cubicBezTo>
                <a:pt x="273101" y="213114"/>
                <a:pt x="278345" y="189906"/>
                <a:pt x="280491" y="187147"/>
              </a:cubicBezTo>
              <a:cubicBezTo>
                <a:pt x="287256" y="178449"/>
                <a:pt x="297753" y="172941"/>
                <a:pt x="303865" y="163773"/>
              </a:cubicBezTo>
              <a:cubicBezTo>
                <a:pt x="314713" y="147502"/>
                <a:pt x="308346" y="155397"/>
                <a:pt x="323344" y="140399"/>
              </a:cubicBezTo>
              <a:cubicBezTo>
                <a:pt x="325941" y="148190"/>
                <a:pt x="324302" y="159217"/>
                <a:pt x="331135" y="163773"/>
              </a:cubicBezTo>
              <a:cubicBezTo>
                <a:pt x="338926" y="168967"/>
                <a:pt x="346609" y="174329"/>
                <a:pt x="354509" y="179356"/>
              </a:cubicBezTo>
              <a:cubicBezTo>
                <a:pt x="360897" y="183421"/>
                <a:pt x="367688" y="186843"/>
                <a:pt x="373988" y="191043"/>
              </a:cubicBezTo>
              <a:cubicBezTo>
                <a:pt x="385994" y="199047"/>
                <a:pt x="428094" y="227650"/>
                <a:pt x="436319" y="230000"/>
              </a:cubicBezTo>
              <a:cubicBezTo>
                <a:pt x="497226" y="247402"/>
                <a:pt x="472319" y="241875"/>
                <a:pt x="510338" y="249479"/>
              </a:cubicBezTo>
              <a:cubicBezTo>
                <a:pt x="515532" y="252076"/>
                <a:pt x="520113" y="257270"/>
                <a:pt x="525920" y="257270"/>
              </a:cubicBezTo>
              <a:cubicBezTo>
                <a:pt x="530602" y="257270"/>
                <a:pt x="518868" y="250141"/>
                <a:pt x="514233" y="249479"/>
              </a:cubicBezTo>
              <a:cubicBezTo>
                <a:pt x="508933" y="248722"/>
                <a:pt x="503844" y="252076"/>
                <a:pt x="498650" y="253374"/>
              </a:cubicBezTo>
              <a:cubicBezTo>
                <a:pt x="502546" y="240388"/>
                <a:pt x="503910" y="226354"/>
                <a:pt x="510338" y="214417"/>
              </a:cubicBezTo>
              <a:cubicBezTo>
                <a:pt x="515297" y="205207"/>
                <a:pt x="537359" y="197954"/>
                <a:pt x="545399" y="194939"/>
              </a:cubicBezTo>
              <a:cubicBezTo>
                <a:pt x="560590" y="189243"/>
                <a:pt x="557539" y="191375"/>
                <a:pt x="576565" y="187147"/>
              </a:cubicBezTo>
              <a:cubicBezTo>
                <a:pt x="610298" y="179651"/>
                <a:pt x="572015" y="185489"/>
                <a:pt x="627209" y="179356"/>
              </a:cubicBezTo>
              <a:cubicBezTo>
                <a:pt x="644090" y="180655"/>
                <a:pt x="662709" y="175680"/>
                <a:pt x="677853" y="183252"/>
              </a:cubicBezTo>
              <a:cubicBezTo>
                <a:pt x="683660" y="186156"/>
                <a:pt x="670912" y="194404"/>
                <a:pt x="666166" y="198834"/>
              </a:cubicBezTo>
              <a:cubicBezTo>
                <a:pt x="651337" y="212675"/>
                <a:pt x="633761" y="223449"/>
                <a:pt x="619417" y="237792"/>
              </a:cubicBezTo>
              <a:cubicBezTo>
                <a:pt x="598723" y="258486"/>
                <a:pt x="590029" y="270167"/>
                <a:pt x="564877" y="284540"/>
              </a:cubicBezTo>
              <a:cubicBezTo>
                <a:pt x="544260" y="296321"/>
                <a:pt x="529341" y="298294"/>
                <a:pt x="506442" y="304019"/>
              </a:cubicBezTo>
              <a:cubicBezTo>
                <a:pt x="490859" y="301422"/>
                <a:pt x="474214" y="302450"/>
                <a:pt x="459693" y="296227"/>
              </a:cubicBezTo>
              <a:cubicBezTo>
                <a:pt x="454355" y="293939"/>
                <a:pt x="451902" y="286451"/>
                <a:pt x="451902" y="280644"/>
              </a:cubicBezTo>
              <a:cubicBezTo>
                <a:pt x="451902" y="250699"/>
                <a:pt x="476034" y="221451"/>
                <a:pt x="494755" y="202730"/>
              </a:cubicBezTo>
              <a:cubicBezTo>
                <a:pt x="514233" y="183252"/>
                <a:pt x="528552" y="156615"/>
                <a:pt x="553190" y="144295"/>
              </a:cubicBezTo>
              <a:cubicBezTo>
                <a:pt x="561636" y="140072"/>
                <a:pt x="570907" y="134517"/>
                <a:pt x="580460" y="132607"/>
              </a:cubicBezTo>
              <a:cubicBezTo>
                <a:pt x="595951" y="129509"/>
                <a:pt x="611718" y="127915"/>
                <a:pt x="627209" y="124816"/>
              </a:cubicBezTo>
              <a:cubicBezTo>
                <a:pt x="651937" y="119870"/>
                <a:pt x="640263" y="122526"/>
                <a:pt x="662270" y="117025"/>
              </a:cubicBezTo>
              <a:cubicBezTo>
                <a:pt x="664867" y="119622"/>
                <a:pt x="668772" y="121377"/>
                <a:pt x="670062" y="124816"/>
              </a:cubicBezTo>
              <a:cubicBezTo>
                <a:pt x="673514" y="134020"/>
                <a:pt x="676769" y="153712"/>
                <a:pt x="670062" y="163773"/>
              </a:cubicBezTo>
              <a:cubicBezTo>
                <a:pt x="667465" y="167669"/>
                <a:pt x="661929" y="168518"/>
                <a:pt x="658374" y="171565"/>
              </a:cubicBezTo>
              <a:cubicBezTo>
                <a:pt x="624751" y="200384"/>
                <a:pt x="651408" y="196890"/>
                <a:pt x="580460" y="226104"/>
              </a:cubicBezTo>
              <a:cubicBezTo>
                <a:pt x="519760" y="251098"/>
                <a:pt x="507666" y="257854"/>
                <a:pt x="444111" y="276749"/>
              </a:cubicBezTo>
              <a:cubicBezTo>
                <a:pt x="419656" y="284019"/>
                <a:pt x="395276" y="292143"/>
                <a:pt x="370092" y="296227"/>
              </a:cubicBezTo>
              <a:cubicBezTo>
                <a:pt x="346983" y="299974"/>
                <a:pt x="323343" y="298824"/>
                <a:pt x="299969" y="300123"/>
              </a:cubicBezTo>
              <a:cubicBezTo>
                <a:pt x="271401" y="297526"/>
                <a:pt x="242094" y="299288"/>
                <a:pt x="214264" y="292331"/>
              </a:cubicBezTo>
              <a:cubicBezTo>
                <a:pt x="208630" y="290923"/>
                <a:pt x="206473" y="282556"/>
                <a:pt x="206473" y="276749"/>
              </a:cubicBezTo>
              <a:cubicBezTo>
                <a:pt x="206473" y="269756"/>
                <a:pt x="210199" y="262961"/>
                <a:pt x="214264" y="257270"/>
              </a:cubicBezTo>
              <a:cubicBezTo>
                <a:pt x="220859" y="248037"/>
                <a:pt x="247615" y="243089"/>
                <a:pt x="253221" y="241687"/>
              </a:cubicBezTo>
              <a:cubicBezTo>
                <a:pt x="274891" y="236269"/>
                <a:pt x="314493" y="228210"/>
                <a:pt x="335031" y="226104"/>
              </a:cubicBezTo>
              <a:cubicBezTo>
                <a:pt x="370005" y="222517"/>
                <a:pt x="440215" y="218313"/>
                <a:pt x="440215" y="218313"/>
              </a:cubicBezTo>
              <a:cubicBezTo>
                <a:pt x="470082" y="219612"/>
                <a:pt x="500114" y="218814"/>
                <a:pt x="529816" y="222209"/>
              </a:cubicBezTo>
              <a:cubicBezTo>
                <a:pt x="561687" y="225851"/>
                <a:pt x="589500" y="239507"/>
                <a:pt x="619417" y="249479"/>
              </a:cubicBezTo>
              <a:cubicBezTo>
                <a:pt x="628386" y="252469"/>
                <a:pt x="637597" y="254673"/>
                <a:pt x="646687" y="257270"/>
              </a:cubicBezTo>
              <a:cubicBezTo>
                <a:pt x="649284" y="259867"/>
                <a:pt x="651611" y="262767"/>
                <a:pt x="654479" y="265061"/>
              </a:cubicBezTo>
              <a:cubicBezTo>
                <a:pt x="658135" y="267986"/>
                <a:pt x="664427" y="268506"/>
                <a:pt x="666166" y="272853"/>
              </a:cubicBezTo>
              <a:cubicBezTo>
                <a:pt x="667691" y="276666"/>
                <a:pt x="666346" y="284043"/>
                <a:pt x="662270" y="284540"/>
              </a:cubicBezTo>
              <a:cubicBezTo>
                <a:pt x="610645" y="290836"/>
                <a:pt x="558385" y="289734"/>
                <a:pt x="506442" y="292331"/>
              </a:cubicBezTo>
              <a:cubicBezTo>
                <a:pt x="460992" y="305317"/>
                <a:pt x="415286" y="317438"/>
                <a:pt x="370092" y="331288"/>
              </a:cubicBezTo>
              <a:cubicBezTo>
                <a:pt x="334756" y="342117"/>
                <a:pt x="300683" y="357075"/>
                <a:pt x="264908" y="366350"/>
              </a:cubicBezTo>
              <a:cubicBezTo>
                <a:pt x="222724" y="377286"/>
                <a:pt x="129568" y="390351"/>
                <a:pt x="81810" y="397515"/>
              </a:cubicBezTo>
              <a:cubicBezTo>
                <a:pt x="81789" y="397505"/>
                <a:pt x="50895" y="384112"/>
                <a:pt x="54540" y="378037"/>
              </a:cubicBezTo>
              <a:cubicBezTo>
                <a:pt x="58765" y="370995"/>
                <a:pt x="70289" y="373296"/>
                <a:pt x="77914" y="370246"/>
              </a:cubicBezTo>
              <a:cubicBezTo>
                <a:pt x="83306" y="368089"/>
                <a:pt x="88105" y="364611"/>
                <a:pt x="93497" y="362454"/>
              </a:cubicBezTo>
              <a:cubicBezTo>
                <a:pt x="101122" y="359404"/>
                <a:pt x="109137" y="357425"/>
                <a:pt x="116871" y="354663"/>
              </a:cubicBezTo>
              <a:cubicBezTo>
                <a:pt x="156544" y="340494"/>
                <a:pt x="146731" y="341095"/>
                <a:pt x="194785" y="331288"/>
              </a:cubicBezTo>
              <a:cubicBezTo>
                <a:pt x="242697" y="321510"/>
                <a:pt x="291144" y="314407"/>
                <a:pt x="338927" y="304019"/>
              </a:cubicBezTo>
              <a:cubicBezTo>
                <a:pt x="473966" y="274662"/>
                <a:pt x="381958" y="292210"/>
                <a:pt x="514233" y="272853"/>
              </a:cubicBezTo>
              <a:cubicBezTo>
                <a:pt x="538948" y="269236"/>
                <a:pt x="563426" y="263924"/>
                <a:pt x="588252" y="261166"/>
              </a:cubicBezTo>
              <a:cubicBezTo>
                <a:pt x="610231" y="258724"/>
                <a:pt x="632408" y="258650"/>
                <a:pt x="654479" y="257270"/>
              </a:cubicBezTo>
              <a:lnTo>
                <a:pt x="712914" y="253374"/>
              </a:lnTo>
              <a:cubicBezTo>
                <a:pt x="740184" y="254673"/>
                <a:pt x="767652" y="253739"/>
                <a:pt x="794724" y="257270"/>
              </a:cubicBezTo>
              <a:cubicBezTo>
                <a:pt x="798366" y="257745"/>
                <a:pt x="805113" y="262464"/>
                <a:pt x="802516" y="265061"/>
              </a:cubicBezTo>
              <a:cubicBezTo>
                <a:pt x="799612" y="267965"/>
                <a:pt x="794724" y="262464"/>
                <a:pt x="790828" y="261166"/>
              </a:cubicBezTo>
              <a:cubicBezTo>
                <a:pt x="773767" y="266852"/>
                <a:pt x="783734" y="261594"/>
                <a:pt x="771350" y="272853"/>
              </a:cubicBezTo>
              <a:cubicBezTo>
                <a:pt x="720223" y="319334"/>
                <a:pt x="751057" y="287405"/>
                <a:pt x="705123" y="339080"/>
              </a:cubicBezTo>
              <a:cubicBezTo>
                <a:pt x="703476" y="337433"/>
                <a:pt x="683729" y="320009"/>
                <a:pt x="709019" y="335184"/>
              </a:cubicBezTo>
              <a:cubicBezTo>
                <a:pt x="712168" y="337074"/>
                <a:pt x="713660" y="341086"/>
                <a:pt x="716810" y="342976"/>
              </a:cubicBezTo>
              <a:cubicBezTo>
                <a:pt x="720331" y="345089"/>
                <a:pt x="724601" y="345573"/>
                <a:pt x="728497" y="346871"/>
              </a:cubicBezTo>
              <a:cubicBezTo>
                <a:pt x="729796" y="355961"/>
                <a:pt x="729977" y="365282"/>
                <a:pt x="732393" y="374141"/>
              </a:cubicBezTo>
              <a:cubicBezTo>
                <a:pt x="737076" y="391313"/>
                <a:pt x="744164" y="391919"/>
                <a:pt x="755767" y="405307"/>
              </a:cubicBezTo>
              <a:cubicBezTo>
                <a:pt x="766330" y="417495"/>
                <a:pt x="799210" y="456935"/>
                <a:pt x="810307" y="475430"/>
              </a:cubicBezTo>
              <a:cubicBezTo>
                <a:pt x="816566" y="485861"/>
                <a:pt x="833020" y="521106"/>
                <a:pt x="837577" y="533865"/>
              </a:cubicBezTo>
              <a:cubicBezTo>
                <a:pt x="848422" y="564232"/>
                <a:pt x="842649" y="554156"/>
                <a:pt x="849264" y="580614"/>
              </a:cubicBezTo>
              <a:cubicBezTo>
                <a:pt x="850260" y="584598"/>
                <a:pt x="851861" y="588405"/>
                <a:pt x="853160" y="592301"/>
              </a:cubicBezTo>
              <a:cubicBezTo>
                <a:pt x="854458" y="607884"/>
                <a:pt x="855900" y="623455"/>
                <a:pt x="857055" y="639049"/>
              </a:cubicBezTo>
              <a:cubicBezTo>
                <a:pt x="858497" y="658518"/>
                <a:pt x="859454" y="678021"/>
                <a:pt x="860951" y="697485"/>
              </a:cubicBezTo>
              <a:cubicBezTo>
                <a:pt x="862051" y="711786"/>
                <a:pt x="864847" y="725995"/>
                <a:pt x="864847" y="740338"/>
              </a:cubicBezTo>
              <a:cubicBezTo>
                <a:pt x="864847" y="745692"/>
                <a:pt x="857165" y="728541"/>
                <a:pt x="860951" y="724755"/>
              </a:cubicBezTo>
              <a:cubicBezTo>
                <a:pt x="864261" y="721444"/>
                <a:pt x="866145" y="732546"/>
                <a:pt x="868742" y="736442"/>
              </a:cubicBezTo>
              <a:cubicBezTo>
                <a:pt x="870041" y="745532"/>
                <a:pt x="871206" y="754642"/>
                <a:pt x="872638" y="763712"/>
              </a:cubicBezTo>
              <a:cubicBezTo>
                <a:pt x="875102" y="779316"/>
                <a:pt x="878196" y="794821"/>
                <a:pt x="880430" y="810460"/>
              </a:cubicBezTo>
              <a:cubicBezTo>
                <a:pt x="881728" y="819550"/>
                <a:pt x="882433" y="828745"/>
                <a:pt x="884325" y="837730"/>
              </a:cubicBezTo>
              <a:cubicBezTo>
                <a:pt x="891573" y="872158"/>
                <a:pt x="892322" y="873409"/>
                <a:pt x="899908" y="896166"/>
              </a:cubicBezTo>
              <a:cubicBezTo>
                <a:pt x="902505" y="893569"/>
                <a:pt x="905810" y="891524"/>
                <a:pt x="907700" y="888374"/>
              </a:cubicBezTo>
              <a:cubicBezTo>
                <a:pt x="909813" y="884853"/>
                <a:pt x="911443" y="872583"/>
                <a:pt x="911595" y="876687"/>
              </a:cubicBezTo>
              <a:cubicBezTo>
                <a:pt x="914335" y="950666"/>
                <a:pt x="913142" y="1024750"/>
                <a:pt x="915491" y="1098742"/>
              </a:cubicBezTo>
              <a:cubicBezTo>
                <a:pt x="915742" y="1106637"/>
                <a:pt x="918343" y="1114287"/>
                <a:pt x="919387" y="1122117"/>
              </a:cubicBezTo>
              <a:cubicBezTo>
                <a:pt x="920941" y="1133773"/>
                <a:pt x="921349" y="1145579"/>
                <a:pt x="923282" y="1157178"/>
              </a:cubicBezTo>
              <a:cubicBezTo>
                <a:pt x="925516" y="1170582"/>
                <a:pt x="931176" y="1192647"/>
                <a:pt x="934969" y="1207822"/>
              </a:cubicBezTo>
              <a:cubicBezTo>
                <a:pt x="936268" y="1140297"/>
                <a:pt x="935601" y="1072705"/>
                <a:pt x="938865" y="1005246"/>
              </a:cubicBezTo>
              <a:cubicBezTo>
                <a:pt x="939505" y="992018"/>
                <a:pt x="946387" y="979528"/>
                <a:pt x="946657" y="966288"/>
              </a:cubicBezTo>
              <a:cubicBezTo>
                <a:pt x="947691" y="915638"/>
                <a:pt x="946968" y="864842"/>
                <a:pt x="942761" y="814356"/>
              </a:cubicBezTo>
              <a:cubicBezTo>
                <a:pt x="941738" y="802079"/>
                <a:pt x="937907" y="789545"/>
                <a:pt x="931074" y="779295"/>
              </a:cubicBezTo>
              <a:lnTo>
                <a:pt x="923282" y="767607"/>
              </a:lnTo>
              <a:cubicBezTo>
                <a:pt x="918316" y="752707"/>
                <a:pt x="914538" y="743364"/>
                <a:pt x="911595" y="728650"/>
              </a:cubicBezTo>
              <a:cubicBezTo>
                <a:pt x="910046" y="720905"/>
                <a:pt x="909778" y="712896"/>
                <a:pt x="907700" y="705276"/>
              </a:cubicBezTo>
              <a:cubicBezTo>
                <a:pt x="905860" y="698529"/>
                <a:pt x="902748" y="692188"/>
                <a:pt x="899908" y="685798"/>
              </a:cubicBezTo>
              <a:cubicBezTo>
                <a:pt x="893315" y="670965"/>
                <a:pt x="892684" y="671066"/>
                <a:pt x="884325" y="658528"/>
              </a:cubicBezTo>
              <a:cubicBezTo>
                <a:pt x="885624" y="649438"/>
                <a:pt x="883127" y="638898"/>
                <a:pt x="888221" y="631258"/>
              </a:cubicBezTo>
              <a:cubicBezTo>
                <a:pt x="891191" y="626803"/>
                <a:pt x="887328" y="649236"/>
                <a:pt x="892117" y="646841"/>
              </a:cubicBezTo>
              <a:cubicBezTo>
                <a:pt x="898039" y="643879"/>
                <a:pt x="894714" y="633855"/>
                <a:pt x="896012" y="627362"/>
              </a:cubicBezTo>
              <a:cubicBezTo>
                <a:pt x="893415" y="562434"/>
                <a:pt x="893617" y="497333"/>
                <a:pt x="888221" y="432577"/>
              </a:cubicBezTo>
              <a:cubicBezTo>
                <a:pt x="885624" y="401409"/>
                <a:pt x="855585" y="354276"/>
                <a:pt x="845368" y="331288"/>
              </a:cubicBezTo>
              <a:cubicBezTo>
                <a:pt x="826247" y="288267"/>
                <a:pt x="835505" y="307666"/>
                <a:pt x="818098" y="272853"/>
              </a:cubicBezTo>
              <a:cubicBezTo>
                <a:pt x="809257" y="228646"/>
                <a:pt x="813519" y="246743"/>
                <a:pt x="806411" y="218313"/>
              </a:cubicBezTo>
              <a:cubicBezTo>
                <a:pt x="803814" y="222209"/>
                <a:pt x="800862" y="225890"/>
                <a:pt x="798620" y="230000"/>
              </a:cubicBezTo>
              <a:cubicBezTo>
                <a:pt x="793058" y="240197"/>
                <a:pt x="783037" y="261166"/>
                <a:pt x="783037" y="261166"/>
              </a:cubicBezTo>
              <a:cubicBezTo>
                <a:pt x="778532" y="288191"/>
                <a:pt x="773873" y="304637"/>
                <a:pt x="783037" y="335184"/>
              </a:cubicBezTo>
              <a:cubicBezTo>
                <a:pt x="790048" y="358553"/>
                <a:pt x="803576" y="379449"/>
                <a:pt x="814203" y="401411"/>
              </a:cubicBezTo>
              <a:cubicBezTo>
                <a:pt x="855878" y="487538"/>
                <a:pt x="826337" y="424435"/>
                <a:pt x="868742" y="506595"/>
              </a:cubicBezTo>
              <a:cubicBezTo>
                <a:pt x="912950" y="592249"/>
                <a:pt x="894324" y="558945"/>
                <a:pt x="934969" y="642945"/>
              </a:cubicBezTo>
              <a:cubicBezTo>
                <a:pt x="953064" y="680341"/>
                <a:pt x="973512" y="717527"/>
                <a:pt x="989509" y="755920"/>
              </a:cubicBezTo>
              <a:cubicBezTo>
                <a:pt x="1002495" y="787086"/>
                <a:pt x="1016610" y="817804"/>
                <a:pt x="1028466" y="849417"/>
              </a:cubicBezTo>
              <a:cubicBezTo>
                <a:pt x="1032362" y="859806"/>
                <a:pt x="1036033" y="870281"/>
                <a:pt x="1040154" y="880583"/>
              </a:cubicBezTo>
              <a:cubicBezTo>
                <a:pt x="1043827" y="889765"/>
                <a:pt x="1048369" y="898593"/>
                <a:pt x="1051841" y="907853"/>
              </a:cubicBezTo>
              <a:cubicBezTo>
                <a:pt x="1060270" y="930331"/>
                <a:pt x="1066316" y="950731"/>
                <a:pt x="1071319" y="974080"/>
              </a:cubicBezTo>
              <a:cubicBezTo>
                <a:pt x="1082996" y="1028575"/>
                <a:pt x="1065592" y="963773"/>
                <a:pt x="1083006" y="1024724"/>
              </a:cubicBezTo>
              <a:cubicBezTo>
                <a:pt x="1084305" y="1035113"/>
                <a:pt x="1085181" y="1045563"/>
                <a:pt x="1086902" y="1055890"/>
              </a:cubicBezTo>
              <a:cubicBezTo>
                <a:pt x="1087782" y="1061171"/>
                <a:pt x="1089676" y="1066238"/>
                <a:pt x="1090798" y="1071473"/>
              </a:cubicBezTo>
              <a:cubicBezTo>
                <a:pt x="1099018" y="1109835"/>
                <a:pt x="1097667" y="1103976"/>
                <a:pt x="1102485" y="1137700"/>
              </a:cubicBezTo>
              <a:cubicBezTo>
                <a:pt x="1092853" y="1166595"/>
                <a:pt x="1098149" y="1163440"/>
                <a:pt x="1036258" y="1141595"/>
              </a:cubicBezTo>
              <a:cubicBezTo>
                <a:pt x="1031209" y="1139813"/>
                <a:pt x="1034448" y="1130943"/>
                <a:pt x="1032362" y="1126012"/>
              </a:cubicBezTo>
              <a:cubicBezTo>
                <a:pt x="1020135" y="1097111"/>
                <a:pt x="1004129" y="1069799"/>
                <a:pt x="993405" y="1040307"/>
              </a:cubicBezTo>
              <a:cubicBezTo>
                <a:pt x="977822" y="997454"/>
                <a:pt x="963592" y="954085"/>
                <a:pt x="946657" y="911749"/>
              </a:cubicBezTo>
              <a:cubicBezTo>
                <a:pt x="944060" y="905256"/>
                <a:pt x="941217" y="898856"/>
                <a:pt x="938865" y="892270"/>
              </a:cubicBezTo>
              <a:cubicBezTo>
                <a:pt x="934722" y="880669"/>
                <a:pt x="927178" y="857209"/>
                <a:pt x="927178" y="857209"/>
              </a:cubicBezTo>
              <a:cubicBezTo>
                <a:pt x="924778" y="806808"/>
                <a:pt x="923948" y="772652"/>
                <a:pt x="919387" y="724755"/>
              </a:cubicBezTo>
              <a:cubicBezTo>
                <a:pt x="918394" y="714333"/>
                <a:pt x="916790" y="703978"/>
                <a:pt x="915491" y="693589"/>
              </a:cubicBezTo>
              <a:cubicBezTo>
                <a:pt x="916402" y="667173"/>
                <a:pt x="916828" y="583611"/>
                <a:pt x="923282" y="541657"/>
              </a:cubicBezTo>
              <a:cubicBezTo>
                <a:pt x="923906" y="537598"/>
                <a:pt x="926182" y="533953"/>
                <a:pt x="927178" y="529969"/>
              </a:cubicBezTo>
              <a:cubicBezTo>
                <a:pt x="928784" y="523545"/>
                <a:pt x="929775" y="516984"/>
                <a:pt x="931074" y="510491"/>
              </a:cubicBezTo>
              <a:cubicBezTo>
                <a:pt x="929775" y="440368"/>
                <a:pt x="930181" y="370193"/>
                <a:pt x="927178" y="300123"/>
              </a:cubicBezTo>
              <a:cubicBezTo>
                <a:pt x="925474" y="260352"/>
                <a:pt x="919294" y="231652"/>
                <a:pt x="907700" y="194939"/>
              </a:cubicBezTo>
              <a:cubicBezTo>
                <a:pt x="904359" y="184359"/>
                <a:pt x="900974" y="173697"/>
                <a:pt x="896012" y="163773"/>
              </a:cubicBezTo>
              <a:cubicBezTo>
                <a:pt x="891824" y="155398"/>
                <a:pt x="884914" y="148620"/>
                <a:pt x="880430" y="140399"/>
              </a:cubicBezTo>
              <a:cubicBezTo>
                <a:pt x="877081" y="134260"/>
                <a:pt x="875766" y="127175"/>
                <a:pt x="872638" y="120920"/>
              </a:cubicBezTo>
              <a:cubicBezTo>
                <a:pt x="869252" y="114148"/>
                <a:pt x="864628" y="108061"/>
                <a:pt x="860951" y="101442"/>
              </a:cubicBezTo>
              <a:cubicBezTo>
                <a:pt x="856214" y="92915"/>
                <a:pt x="854297" y="83425"/>
                <a:pt x="845368" y="78068"/>
              </a:cubicBezTo>
              <a:cubicBezTo>
                <a:pt x="841847" y="75955"/>
                <a:pt x="837577" y="75471"/>
                <a:pt x="833681" y="74172"/>
              </a:cubicBezTo>
              <a:cubicBezTo>
                <a:pt x="823293" y="75471"/>
                <a:pt x="811559" y="72793"/>
                <a:pt x="802516" y="78068"/>
              </a:cubicBezTo>
              <a:cubicBezTo>
                <a:pt x="794428" y="82786"/>
                <a:pt x="793554" y="94821"/>
                <a:pt x="786933" y="101442"/>
              </a:cubicBezTo>
              <a:cubicBezTo>
                <a:pt x="781739" y="106636"/>
                <a:pt x="775425" y="110913"/>
                <a:pt x="771350" y="117025"/>
              </a:cubicBezTo>
              <a:lnTo>
                <a:pt x="755767" y="140399"/>
              </a:lnTo>
              <a:cubicBezTo>
                <a:pt x="753170" y="144295"/>
                <a:pt x="751287" y="148776"/>
                <a:pt x="747976" y="152086"/>
              </a:cubicBezTo>
              <a:lnTo>
                <a:pt x="740184" y="159877"/>
              </a:lnTo>
              <a:cubicBezTo>
                <a:pt x="731893" y="184757"/>
                <a:pt x="736709" y="157982"/>
                <a:pt x="751871" y="183252"/>
              </a:cubicBezTo>
              <a:cubicBezTo>
                <a:pt x="757416" y="192494"/>
                <a:pt x="766053" y="244342"/>
                <a:pt x="767454" y="249479"/>
              </a:cubicBezTo>
              <a:cubicBezTo>
                <a:pt x="771776" y="265326"/>
                <a:pt x="778317" y="280494"/>
                <a:pt x="783037" y="296227"/>
              </a:cubicBezTo>
              <a:cubicBezTo>
                <a:pt x="790008" y="319463"/>
                <a:pt x="796454" y="342860"/>
                <a:pt x="802516" y="366350"/>
              </a:cubicBezTo>
              <a:cubicBezTo>
                <a:pt x="810587" y="397626"/>
                <a:pt x="814440" y="425893"/>
                <a:pt x="825890" y="455951"/>
              </a:cubicBezTo>
              <a:cubicBezTo>
                <a:pt x="831476" y="470614"/>
                <a:pt x="839541" y="484236"/>
                <a:pt x="845368" y="498804"/>
              </a:cubicBezTo>
              <a:cubicBezTo>
                <a:pt x="849943" y="510242"/>
                <a:pt x="852345" y="522482"/>
                <a:pt x="857055" y="533865"/>
              </a:cubicBezTo>
              <a:cubicBezTo>
                <a:pt x="894605" y="624610"/>
                <a:pt x="879694" y="586583"/>
                <a:pt x="911595" y="646841"/>
              </a:cubicBezTo>
              <a:cubicBezTo>
                <a:pt x="933776" y="688740"/>
                <a:pt x="918144" y="665960"/>
                <a:pt x="938865" y="693589"/>
              </a:cubicBezTo>
              <a:cubicBezTo>
                <a:pt x="940164" y="697485"/>
                <a:pt x="941143" y="701502"/>
                <a:pt x="942761" y="705276"/>
              </a:cubicBezTo>
              <a:cubicBezTo>
                <a:pt x="948351" y="718319"/>
                <a:pt x="954849" y="728021"/>
                <a:pt x="962239" y="740338"/>
              </a:cubicBezTo>
              <a:cubicBezTo>
                <a:pt x="960941" y="728651"/>
                <a:pt x="968862" y="710535"/>
                <a:pt x="958344" y="705276"/>
              </a:cubicBezTo>
              <a:cubicBezTo>
                <a:pt x="948980" y="700593"/>
                <a:pt x="955317" y="726009"/>
                <a:pt x="954448" y="736442"/>
              </a:cubicBezTo>
              <a:cubicBezTo>
                <a:pt x="951421" y="772769"/>
                <a:pt x="949137" y="809154"/>
                <a:pt x="946657" y="845522"/>
              </a:cubicBezTo>
              <a:cubicBezTo>
                <a:pt x="945241" y="866291"/>
                <a:pt x="944766" y="887132"/>
                <a:pt x="942761" y="907853"/>
              </a:cubicBezTo>
              <a:cubicBezTo>
                <a:pt x="936545" y="972077"/>
                <a:pt x="936581" y="951964"/>
                <a:pt x="927178" y="1005246"/>
              </a:cubicBezTo>
              <a:cubicBezTo>
                <a:pt x="916405" y="1066296"/>
                <a:pt x="931347" y="993727"/>
                <a:pt x="919387" y="1071473"/>
              </a:cubicBezTo>
              <a:cubicBezTo>
                <a:pt x="918763" y="1075532"/>
                <a:pt x="916790" y="1079264"/>
                <a:pt x="915491" y="1083160"/>
              </a:cubicBezTo>
              <a:cubicBezTo>
                <a:pt x="916790" y="1101340"/>
                <a:pt x="917737" y="1119549"/>
                <a:pt x="919387" y="1137700"/>
              </a:cubicBezTo>
              <a:cubicBezTo>
                <a:pt x="920335" y="1148126"/>
                <a:pt x="923282" y="1179334"/>
                <a:pt x="923282" y="1168865"/>
              </a:cubicBezTo>
              <a:cubicBezTo>
                <a:pt x="923282" y="1137347"/>
                <a:pt x="920071" y="1122325"/>
                <a:pt x="915491" y="1094847"/>
              </a:cubicBezTo>
              <a:cubicBezTo>
                <a:pt x="921984" y="923436"/>
                <a:pt x="921163" y="751591"/>
                <a:pt x="934969" y="580614"/>
              </a:cubicBezTo>
              <a:cubicBezTo>
                <a:pt x="938113" y="541675"/>
                <a:pt x="954845" y="505036"/>
                <a:pt x="966135" y="467638"/>
              </a:cubicBezTo>
              <a:cubicBezTo>
                <a:pt x="1003262" y="344655"/>
                <a:pt x="986479" y="410598"/>
                <a:pt x="1020675" y="311810"/>
              </a:cubicBezTo>
              <a:cubicBezTo>
                <a:pt x="1025110" y="298998"/>
                <a:pt x="1028466" y="285839"/>
                <a:pt x="1032362" y="272853"/>
              </a:cubicBezTo>
              <a:cubicBezTo>
                <a:pt x="1033661" y="263763"/>
                <a:pt x="1036258" y="254765"/>
                <a:pt x="1036258" y="245583"/>
              </a:cubicBezTo>
              <a:cubicBezTo>
                <a:pt x="1036258" y="238961"/>
                <a:pt x="1033799" y="232568"/>
                <a:pt x="1032362" y="226104"/>
              </a:cubicBezTo>
              <a:cubicBezTo>
                <a:pt x="1031200" y="220878"/>
                <a:pt x="1029627" y="215748"/>
                <a:pt x="1028466" y="210522"/>
              </a:cubicBezTo>
              <a:cubicBezTo>
                <a:pt x="1027030" y="204058"/>
                <a:pt x="1026007" y="197507"/>
                <a:pt x="1024571" y="191043"/>
              </a:cubicBezTo>
              <a:cubicBezTo>
                <a:pt x="1023410" y="185816"/>
                <a:pt x="1021725" y="180710"/>
                <a:pt x="1020675" y="175460"/>
              </a:cubicBezTo>
              <a:cubicBezTo>
                <a:pt x="1017475" y="159459"/>
                <a:pt x="1014409" y="121938"/>
                <a:pt x="1001196" y="113129"/>
              </a:cubicBezTo>
              <a:cubicBezTo>
                <a:pt x="986092" y="103060"/>
                <a:pt x="993951" y="106819"/>
                <a:pt x="977822" y="101442"/>
              </a:cubicBezTo>
              <a:cubicBezTo>
                <a:pt x="966135" y="102741"/>
                <a:pt x="954219" y="102694"/>
                <a:pt x="942761" y="105338"/>
              </a:cubicBezTo>
              <a:cubicBezTo>
                <a:pt x="925236" y="109382"/>
                <a:pt x="930199" y="114616"/>
                <a:pt x="915491" y="120920"/>
              </a:cubicBezTo>
              <a:cubicBezTo>
                <a:pt x="910570" y="123029"/>
                <a:pt x="904921" y="122936"/>
                <a:pt x="899908" y="124816"/>
              </a:cubicBezTo>
              <a:cubicBezTo>
                <a:pt x="894470" y="126855"/>
                <a:pt x="889763" y="130568"/>
                <a:pt x="884325" y="132607"/>
              </a:cubicBezTo>
              <a:cubicBezTo>
                <a:pt x="873020" y="136846"/>
                <a:pt x="851429" y="138977"/>
                <a:pt x="841473" y="140399"/>
              </a:cubicBezTo>
              <a:cubicBezTo>
                <a:pt x="842771" y="148190"/>
                <a:pt x="843955" y="156002"/>
                <a:pt x="845368" y="163773"/>
              </a:cubicBezTo>
              <a:cubicBezTo>
                <a:pt x="846552" y="170288"/>
                <a:pt x="848257" y="176707"/>
                <a:pt x="849264" y="183252"/>
              </a:cubicBezTo>
              <a:cubicBezTo>
                <a:pt x="850856" y="193599"/>
                <a:pt x="851861" y="204029"/>
                <a:pt x="853160" y="214417"/>
              </a:cubicBezTo>
              <a:cubicBezTo>
                <a:pt x="856238" y="303695"/>
                <a:pt x="853964" y="335920"/>
                <a:pt x="868742" y="420890"/>
              </a:cubicBezTo>
              <a:cubicBezTo>
                <a:pt x="886193" y="521231"/>
                <a:pt x="928682" y="634745"/>
                <a:pt x="958344" y="724755"/>
              </a:cubicBezTo>
              <a:cubicBezTo>
                <a:pt x="1066110" y="1051772"/>
                <a:pt x="952872" y="706505"/>
                <a:pt x="1028466" y="919540"/>
              </a:cubicBezTo>
              <a:cubicBezTo>
                <a:pt x="1047629" y="973543"/>
                <a:pt x="1042179" y="971276"/>
                <a:pt x="1059632" y="1028620"/>
              </a:cubicBezTo>
              <a:cubicBezTo>
                <a:pt x="1062862" y="1039234"/>
                <a:pt x="1067423" y="1049397"/>
                <a:pt x="1071319" y="1059785"/>
              </a:cubicBezTo>
              <a:cubicBezTo>
                <a:pt x="1072618" y="1068875"/>
                <a:pt x="1073414" y="1078051"/>
                <a:pt x="1075215" y="1087055"/>
              </a:cubicBezTo>
              <a:cubicBezTo>
                <a:pt x="1076020" y="1091082"/>
                <a:pt x="1078376" y="1094702"/>
                <a:pt x="1079111" y="1098742"/>
              </a:cubicBezTo>
              <a:cubicBezTo>
                <a:pt x="1080984" y="1109043"/>
                <a:pt x="1083006" y="1129908"/>
                <a:pt x="1083006" y="1129908"/>
              </a:cubicBezTo>
            </a:path>
          </a:pathLst>
        </a:cu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667917</xdr:colOff>
      <xdr:row>177</xdr:row>
      <xdr:rowOff>107293</xdr:rowOff>
    </xdr:from>
    <xdr:to>
      <xdr:col>9</xdr:col>
      <xdr:colOff>62332</xdr:colOff>
      <xdr:row>178</xdr:row>
      <xdr:rowOff>169624</xdr:rowOff>
    </xdr:to>
    <xdr:sp macro="" textlink="">
      <xdr:nvSpPr>
        <xdr:cNvPr id="196" name="Oval 195">
          <a:extLst>
            <a:ext uri="{FF2B5EF4-FFF2-40B4-BE49-F238E27FC236}">
              <a16:creationId xmlns:a16="http://schemas.microsoft.com/office/drawing/2014/main" id="{A4159F2D-5053-1749-8DE3-10DACE17D65D}"/>
            </a:ext>
          </a:extLst>
        </xdr:cNvPr>
        <xdr:cNvSpPr/>
      </xdr:nvSpPr>
      <xdr:spPr>
        <a:xfrm>
          <a:off x="13552550028" y="36347480"/>
          <a:ext cx="222055" cy="266863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309512</xdr:colOff>
      <xdr:row>177</xdr:row>
      <xdr:rowOff>66382</xdr:rowOff>
    </xdr:from>
    <xdr:to>
      <xdr:col>8</xdr:col>
      <xdr:colOff>531567</xdr:colOff>
      <xdr:row>178</xdr:row>
      <xdr:rowOff>130667</xdr:rowOff>
    </xdr:to>
    <xdr:sp macro="" textlink="">
      <xdr:nvSpPr>
        <xdr:cNvPr id="197" name="Oval 196">
          <a:extLst>
            <a:ext uri="{FF2B5EF4-FFF2-40B4-BE49-F238E27FC236}">
              <a16:creationId xmlns:a16="http://schemas.microsoft.com/office/drawing/2014/main" id="{CC7569EB-EFE4-464C-918C-5B262143B8A3}"/>
            </a:ext>
          </a:extLst>
        </xdr:cNvPr>
        <xdr:cNvSpPr/>
      </xdr:nvSpPr>
      <xdr:spPr>
        <a:xfrm>
          <a:off x="13552908433" y="36306569"/>
          <a:ext cx="222055" cy="268817"/>
        </a:xfrm>
        <a:prstGeom prst="ellipse">
          <a:avLst/>
        </a:prstGeom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531567</xdr:colOff>
      <xdr:row>177</xdr:row>
      <xdr:rowOff>200790</xdr:rowOff>
    </xdr:from>
    <xdr:to>
      <xdr:col>8</xdr:col>
      <xdr:colOff>667917</xdr:colOff>
      <xdr:row>178</xdr:row>
      <xdr:rowOff>35215</xdr:rowOff>
    </xdr:to>
    <xdr:cxnSp macro="">
      <xdr:nvCxnSpPr>
        <xdr:cNvPr id="198" name="Straight Connector 197">
          <a:extLst>
            <a:ext uri="{FF2B5EF4-FFF2-40B4-BE49-F238E27FC236}">
              <a16:creationId xmlns:a16="http://schemas.microsoft.com/office/drawing/2014/main" id="{05940922-A7DC-B641-88EE-B66116F6B807}"/>
            </a:ext>
          </a:extLst>
        </xdr:cNvPr>
        <xdr:cNvCxnSpPr>
          <a:stCxn id="196" idx="6"/>
          <a:endCxn id="197" idx="2"/>
        </xdr:cNvCxnSpPr>
      </xdr:nvCxnSpPr>
      <xdr:spPr>
        <a:xfrm flipV="1">
          <a:off x="13552772083" y="36440977"/>
          <a:ext cx="136350" cy="38957"/>
        </a:xfrm>
        <a:prstGeom prst="line">
          <a:avLst/>
        </a:prstGeom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646892</xdr:colOff>
      <xdr:row>176</xdr:row>
      <xdr:rowOff>128427</xdr:rowOff>
    </xdr:from>
    <xdr:to>
      <xdr:col>7</xdr:col>
      <xdr:colOff>780075</xdr:colOff>
      <xdr:row>183</xdr:row>
      <xdr:rowOff>28540</xdr:rowOff>
    </xdr:to>
    <xdr:sp macro="" textlink="">
      <xdr:nvSpPr>
        <xdr:cNvPr id="199" name="Cloud Callout 198">
          <a:extLst>
            <a:ext uri="{FF2B5EF4-FFF2-40B4-BE49-F238E27FC236}">
              <a16:creationId xmlns:a16="http://schemas.microsoft.com/office/drawing/2014/main" id="{2E1F3EC5-463F-AC8A-5C23-E69B7BF5923D}"/>
            </a:ext>
          </a:extLst>
        </xdr:cNvPr>
        <xdr:cNvSpPr/>
      </xdr:nvSpPr>
      <xdr:spPr>
        <a:xfrm>
          <a:off x="13553487566" y="36164082"/>
          <a:ext cx="1788464" cy="1331836"/>
        </a:xfrm>
        <a:prstGeom prst="cloudCallout">
          <a:avLst>
            <a:gd name="adj1" fmla="val -57535"/>
            <a:gd name="adj2" fmla="val -964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הסכום המירבי שאסכים</a:t>
          </a:r>
          <a:r>
            <a:rPr lang="he-IL" sz="1100" baseline="0"/>
            <a:t> לשלם בעד הנכס הוא 358,138 ש״ח.</a:t>
          </a:r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157788</xdr:colOff>
      <xdr:row>23</xdr:row>
      <xdr:rowOff>46182</xdr:rowOff>
    </xdr:from>
    <xdr:to>
      <xdr:col>7</xdr:col>
      <xdr:colOff>781242</xdr:colOff>
      <xdr:row>23</xdr:row>
      <xdr:rowOff>61576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658900D-27F7-1F23-6851-4A400B436577}"/>
            </a:ext>
          </a:extLst>
        </xdr:cNvPr>
        <xdr:cNvCxnSpPr/>
      </xdr:nvCxnSpPr>
      <xdr:spPr>
        <a:xfrm>
          <a:off x="13549945576" y="4737485"/>
          <a:ext cx="5588000" cy="1539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342515</xdr:colOff>
      <xdr:row>20</xdr:row>
      <xdr:rowOff>177030</xdr:rowOff>
    </xdr:from>
    <xdr:to>
      <xdr:col>7</xdr:col>
      <xdr:colOff>469515</xdr:colOff>
      <xdr:row>21</xdr:row>
      <xdr:rowOff>196272</xdr:rowOff>
    </xdr:to>
    <xdr:sp macro="" textlink="">
      <xdr:nvSpPr>
        <xdr:cNvPr id="4" name="Smiley Face 3">
          <a:extLst>
            <a:ext uri="{FF2B5EF4-FFF2-40B4-BE49-F238E27FC236}">
              <a16:creationId xmlns:a16="http://schemas.microsoft.com/office/drawing/2014/main" id="{EFB5FFA9-407F-7AA8-DD09-71E99CFEEE91}"/>
            </a:ext>
          </a:extLst>
        </xdr:cNvPr>
        <xdr:cNvSpPr/>
      </xdr:nvSpPr>
      <xdr:spPr>
        <a:xfrm>
          <a:off x="13550257303" y="4256424"/>
          <a:ext cx="127000" cy="223212"/>
        </a:xfrm>
        <a:prstGeom prst="smileyFac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381000</xdr:colOff>
      <xdr:row>22</xdr:row>
      <xdr:rowOff>198194</xdr:rowOff>
    </xdr:from>
    <xdr:to>
      <xdr:col>6</xdr:col>
      <xdr:colOff>417559</xdr:colOff>
      <xdr:row>24</xdr:row>
      <xdr:rowOff>46181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4D388C8F-212D-A2C6-7693-9123759A88DD}"/>
            </a:ext>
          </a:extLst>
        </xdr:cNvPr>
        <xdr:cNvSpPr/>
      </xdr:nvSpPr>
      <xdr:spPr>
        <a:xfrm rot="16200000">
          <a:off x="13552681848" y="3140363"/>
          <a:ext cx="255927" cy="33462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554182</xdr:colOff>
      <xdr:row>24</xdr:row>
      <xdr:rowOff>62345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BEE840D0-4844-46EB-5364-6803F8EC8F1A}"/>
                </a:ext>
              </a:extLst>
            </xdr:cNvPr>
            <xdr:cNvSpPr txBox="1"/>
          </xdr:nvSpPr>
          <xdr:spPr>
            <a:xfrm>
              <a:off x="13552217921" y="495761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=?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BEE840D0-4844-46EB-5364-6803F8EC8F1A}"/>
                </a:ext>
              </a:extLst>
            </xdr:cNvPr>
            <xdr:cNvSpPr txBox="1"/>
          </xdr:nvSpPr>
          <xdr:spPr>
            <a:xfrm>
              <a:off x="13552217921" y="495761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𝑃𝑀𝑇=?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558031</xdr:colOff>
      <xdr:row>25</xdr:row>
      <xdr:rowOff>70043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B09AA844-305F-DE5A-215D-D70015673D93}"/>
                </a:ext>
              </a:extLst>
            </xdr:cNvPr>
            <xdr:cNvSpPr txBox="1"/>
          </xdr:nvSpPr>
          <xdr:spPr>
            <a:xfrm>
              <a:off x="13552214072" y="5169285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B09AA844-305F-DE5A-215D-D70015673D93}"/>
                </a:ext>
              </a:extLst>
            </xdr:cNvPr>
            <xdr:cNvSpPr txBox="1"/>
          </xdr:nvSpPr>
          <xdr:spPr>
            <a:xfrm>
              <a:off x="13552214072" y="5169285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𝑛=36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550334</xdr:colOff>
      <xdr:row>26</xdr:row>
      <xdr:rowOff>54649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BFBF11A0-DF58-8FCF-01A5-F80AA653A5F8}"/>
                </a:ext>
              </a:extLst>
            </xdr:cNvPr>
            <xdr:cNvSpPr txBox="1"/>
          </xdr:nvSpPr>
          <xdr:spPr>
            <a:xfrm>
              <a:off x="13552221769" y="5357861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%=1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BFBF11A0-DF58-8FCF-01A5-F80AA653A5F8}"/>
                </a:ext>
              </a:extLst>
            </xdr:cNvPr>
            <xdr:cNvSpPr txBox="1"/>
          </xdr:nvSpPr>
          <xdr:spPr>
            <a:xfrm>
              <a:off x="13552221769" y="5357861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𝐼%=1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561880</xdr:colOff>
      <xdr:row>27</xdr:row>
      <xdr:rowOff>112376</xdr:rowOff>
    </xdr:from>
    <xdr:ext cx="1264412" cy="18011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268A965-9CAF-D033-60A5-05245AA207C4}"/>
                </a:ext>
              </a:extLst>
            </xdr:cNvPr>
            <xdr:cNvSpPr txBox="1"/>
          </xdr:nvSpPr>
          <xdr:spPr>
            <a:xfrm>
              <a:off x="13552210223" y="561955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0268A965-9CAF-D033-60A5-05245AA207C4}"/>
                </a:ext>
              </a:extLst>
            </xdr:cNvPr>
            <xdr:cNvSpPr txBox="1"/>
          </xdr:nvSpPr>
          <xdr:spPr>
            <a:xfrm>
              <a:off x="13552210223" y="5619558"/>
              <a:ext cx="1264412" cy="18011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419485</xdr:colOff>
      <xdr:row>23</xdr:row>
      <xdr:rowOff>115455</xdr:rowOff>
    </xdr:from>
    <xdr:to>
      <xdr:col>6</xdr:col>
      <xdr:colOff>438728</xdr:colOff>
      <xdr:row>27</xdr:row>
      <xdr:rowOff>88515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996C4E8-F8B6-BC84-A829-4D738327DFFA}"/>
            </a:ext>
          </a:extLst>
        </xdr:cNvPr>
        <xdr:cNvCxnSpPr/>
      </xdr:nvCxnSpPr>
      <xdr:spPr>
        <a:xfrm flipH="1">
          <a:off x="13551115515" y="4806758"/>
          <a:ext cx="19243" cy="78893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442576</xdr:colOff>
      <xdr:row>27</xdr:row>
      <xdr:rowOff>84666</xdr:rowOff>
    </xdr:from>
    <xdr:to>
      <xdr:col>7</xdr:col>
      <xdr:colOff>434879</xdr:colOff>
      <xdr:row>27</xdr:row>
      <xdr:rowOff>92363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DAB31EA7-1A48-ED63-1C99-42568AB88513}"/>
            </a:ext>
          </a:extLst>
        </xdr:cNvPr>
        <xdr:cNvCxnSpPr/>
      </xdr:nvCxnSpPr>
      <xdr:spPr>
        <a:xfrm flipH="1">
          <a:off x="13550291939" y="5591848"/>
          <a:ext cx="819728" cy="769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415636</xdr:colOff>
      <xdr:row>25</xdr:row>
      <xdr:rowOff>192425</xdr:rowOff>
    </xdr:from>
    <xdr:to>
      <xdr:col>7</xdr:col>
      <xdr:colOff>423333</xdr:colOff>
      <xdr:row>27</xdr:row>
      <xdr:rowOff>88515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C257E1B8-719B-47A1-C8F9-1F30FA28670F}"/>
            </a:ext>
          </a:extLst>
        </xdr:cNvPr>
        <xdr:cNvCxnSpPr/>
      </xdr:nvCxnSpPr>
      <xdr:spPr>
        <a:xfrm flipV="1">
          <a:off x="13550303485" y="5291667"/>
          <a:ext cx="7697" cy="304030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511848</xdr:colOff>
      <xdr:row>78</xdr:row>
      <xdr:rowOff>96212</xdr:rowOff>
    </xdr:from>
    <xdr:to>
      <xdr:col>4</xdr:col>
      <xdr:colOff>7697</xdr:colOff>
      <xdr:row>78</xdr:row>
      <xdr:rowOff>96212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70EC6DAF-8B89-BDB3-C589-7ED8BBCBC2A1}"/>
            </a:ext>
          </a:extLst>
        </xdr:cNvPr>
        <xdr:cNvCxnSpPr/>
      </xdr:nvCxnSpPr>
      <xdr:spPr>
        <a:xfrm>
          <a:off x="13553201394" y="16028939"/>
          <a:ext cx="323273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515697</xdr:colOff>
      <xdr:row>78</xdr:row>
      <xdr:rowOff>96212</xdr:rowOff>
    </xdr:from>
    <xdr:to>
      <xdr:col>3</xdr:col>
      <xdr:colOff>531091</xdr:colOff>
      <xdr:row>84</xdr:row>
      <xdr:rowOff>15394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4F673DCA-55B8-E25E-3ACA-348003204C58}"/>
            </a:ext>
          </a:extLst>
        </xdr:cNvPr>
        <xdr:cNvCxnSpPr/>
      </xdr:nvCxnSpPr>
      <xdr:spPr>
        <a:xfrm>
          <a:off x="13553505424" y="16028939"/>
          <a:ext cx="15394" cy="1143000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769698</xdr:colOff>
      <xdr:row>91</xdr:row>
      <xdr:rowOff>89285</xdr:rowOff>
    </xdr:from>
    <xdr:ext cx="1845533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F5FA5E52-07F3-1F98-3B25-BF8D5597A6FF}"/>
                </a:ext>
              </a:extLst>
            </xdr:cNvPr>
            <xdr:cNvSpPr txBox="1"/>
          </xdr:nvSpPr>
          <xdr:spPr>
            <a:xfrm>
              <a:off x="13551421284" y="18673618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𝑎𝑛𝑛𝑢𝑎𝑙</m:t>
                                </m:r>
                              </m:sub>
                            </m:sSub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F5FA5E52-07F3-1F98-3B25-BF8D5597A6FF}"/>
                </a:ext>
              </a:extLst>
            </xdr:cNvPr>
            <xdr:cNvSpPr txBox="1"/>
          </xdr:nvSpPr>
          <xdr:spPr>
            <a:xfrm>
              <a:off x="13551421284" y="18673618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𝑟_𝑚𝑜𝑛𝑡ℎ=(1+𝑟_𝑎𝑛𝑛𝑢𝑎𝑙 )^(1/12)−1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769697</xdr:colOff>
      <xdr:row>92</xdr:row>
      <xdr:rowOff>161636</xdr:rowOff>
    </xdr:from>
    <xdr:to>
      <xdr:col>5</xdr:col>
      <xdr:colOff>773546</xdr:colOff>
      <xdr:row>94</xdr:row>
      <xdr:rowOff>3849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347A8AD-055A-AF7F-813C-B1D0C7F9A553}"/>
            </a:ext>
          </a:extLst>
        </xdr:cNvPr>
        <xdr:cNvCxnSpPr/>
      </xdr:nvCxnSpPr>
      <xdr:spPr>
        <a:xfrm flipH="1">
          <a:off x="13551608121" y="18949939"/>
          <a:ext cx="3849" cy="250152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558030</xdr:colOff>
      <xdr:row>92</xdr:row>
      <xdr:rowOff>196272</xdr:rowOff>
    </xdr:from>
    <xdr:to>
      <xdr:col>4</xdr:col>
      <xdr:colOff>565727</xdr:colOff>
      <xdr:row>96</xdr:row>
      <xdr:rowOff>134697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B7066FED-AD8F-FC5F-9EC0-33A2876179C6}"/>
            </a:ext>
          </a:extLst>
        </xdr:cNvPr>
        <xdr:cNvCxnSpPr/>
      </xdr:nvCxnSpPr>
      <xdr:spPr>
        <a:xfrm flipH="1">
          <a:off x="13552643364" y="18984575"/>
          <a:ext cx="7697" cy="754304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42333</xdr:colOff>
      <xdr:row>92</xdr:row>
      <xdr:rowOff>111606</xdr:rowOff>
    </xdr:from>
    <xdr:to>
      <xdr:col>4</xdr:col>
      <xdr:colOff>315576</xdr:colOff>
      <xdr:row>95</xdr:row>
      <xdr:rowOff>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4C84CD2F-9048-0A04-C712-709BF09E7D2F}"/>
            </a:ext>
          </a:extLst>
        </xdr:cNvPr>
        <xdr:cNvCxnSpPr/>
      </xdr:nvCxnSpPr>
      <xdr:spPr>
        <a:xfrm>
          <a:off x="13552893515" y="18899909"/>
          <a:ext cx="1100667" cy="500303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111607</xdr:colOff>
      <xdr:row>101</xdr:row>
      <xdr:rowOff>139315</xdr:rowOff>
    </xdr:from>
    <xdr:ext cx="1845533" cy="25340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7D650EC4-880C-9F0E-0E38-A1E13A3B5722}"/>
                </a:ext>
              </a:extLst>
            </xdr:cNvPr>
            <xdr:cNvSpPr txBox="1"/>
          </xdr:nvSpPr>
          <xdr:spPr>
            <a:xfrm>
              <a:off x="13551251951" y="20763345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7D650EC4-880C-9F0E-0E38-A1E13A3B5722}"/>
                </a:ext>
              </a:extLst>
            </xdr:cNvPr>
            <xdr:cNvSpPr txBox="1"/>
          </xdr:nvSpPr>
          <xdr:spPr>
            <a:xfrm>
              <a:off x="13551251951" y="20763345"/>
              <a:ext cx="1845533" cy="2534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𝑟_𝑚𝑜𝑛𝑡ℎ=(1+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511848</xdr:colOff>
      <xdr:row>110</xdr:row>
      <xdr:rowOff>96212</xdr:rowOff>
    </xdr:from>
    <xdr:to>
      <xdr:col>4</xdr:col>
      <xdr:colOff>7697</xdr:colOff>
      <xdr:row>110</xdr:row>
      <xdr:rowOff>96212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48E45170-10FF-464A-86DD-170CC948F255}"/>
            </a:ext>
          </a:extLst>
        </xdr:cNvPr>
        <xdr:cNvCxnSpPr/>
      </xdr:nvCxnSpPr>
      <xdr:spPr>
        <a:xfrm>
          <a:off x="13531780653" y="15837636"/>
          <a:ext cx="321965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513754</xdr:colOff>
      <xdr:row>110</xdr:row>
      <xdr:rowOff>92102</xdr:rowOff>
    </xdr:from>
    <xdr:to>
      <xdr:col>3</xdr:col>
      <xdr:colOff>521451</xdr:colOff>
      <xdr:row>115</xdr:row>
      <xdr:rowOff>176731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82355C29-01F7-73BB-D96F-A23BFD1FB624}"/>
            </a:ext>
          </a:extLst>
        </xdr:cNvPr>
        <xdr:cNvCxnSpPr/>
      </xdr:nvCxnSpPr>
      <xdr:spPr>
        <a:xfrm>
          <a:off x="13532093015" y="22278057"/>
          <a:ext cx="7697" cy="109158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90422</xdr:colOff>
      <xdr:row>123</xdr:row>
      <xdr:rowOff>102751</xdr:rowOff>
    </xdr:from>
    <xdr:to>
      <xdr:col>2</xdr:col>
      <xdr:colOff>760015</xdr:colOff>
      <xdr:row>138</xdr:row>
      <xdr:rowOff>91151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AE1AFB9-C479-7C54-7A0D-2C5003DBE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2680568" y="24906796"/>
          <a:ext cx="2321826" cy="303279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127</xdr:row>
      <xdr:rowOff>0</xdr:rowOff>
    </xdr:from>
    <xdr:to>
      <xdr:col>4</xdr:col>
      <xdr:colOff>756246</xdr:colOff>
      <xdr:row>130</xdr:row>
      <xdr:rowOff>120459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D9F53FA1-F894-C05E-0FAC-76C1696F8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31032104" y="25609612"/>
          <a:ext cx="1582362" cy="724633"/>
        </a:xfrm>
        <a:prstGeom prst="rect">
          <a:avLst/>
        </a:prstGeom>
      </xdr:spPr>
    </xdr:pic>
    <xdr:clientData/>
  </xdr:twoCellAnchor>
  <xdr:twoCellAnchor editAs="oneCell">
    <xdr:from>
      <xdr:col>8</xdr:col>
      <xdr:colOff>181608</xdr:colOff>
      <xdr:row>122</xdr:row>
      <xdr:rowOff>176388</xdr:rowOff>
    </xdr:from>
    <xdr:to>
      <xdr:col>11</xdr:col>
      <xdr:colOff>277832</xdr:colOff>
      <xdr:row>138</xdr:row>
      <xdr:rowOff>188931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D374F6B-9E7D-3624-FFE7-5129850CE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41304915" y="25066820"/>
          <a:ext cx="2577428" cy="3297296"/>
        </a:xfrm>
        <a:prstGeom prst="rect">
          <a:avLst/>
        </a:prstGeom>
      </xdr:spPr>
    </xdr:pic>
    <xdr:clientData/>
  </xdr:twoCellAnchor>
  <xdr:twoCellAnchor>
    <xdr:from>
      <xdr:col>4</xdr:col>
      <xdr:colOff>70201</xdr:colOff>
      <xdr:row>169</xdr:row>
      <xdr:rowOff>140402</xdr:rowOff>
    </xdr:from>
    <xdr:to>
      <xdr:col>4</xdr:col>
      <xdr:colOff>70201</xdr:colOff>
      <xdr:row>174</xdr:row>
      <xdr:rowOff>181885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5172235-68F2-4E42-C252-3C045708A6AF}"/>
            </a:ext>
          </a:extLst>
        </xdr:cNvPr>
        <xdr:cNvCxnSpPr/>
      </xdr:nvCxnSpPr>
      <xdr:spPr>
        <a:xfrm>
          <a:off x="13537300151" y="34730352"/>
          <a:ext cx="0" cy="10625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299950</xdr:colOff>
      <xdr:row>183</xdr:row>
      <xdr:rowOff>188267</xdr:rowOff>
    </xdr:from>
    <xdr:to>
      <xdr:col>5</xdr:col>
      <xdr:colOff>299950</xdr:colOff>
      <xdr:row>185</xdr:row>
      <xdr:rowOff>153166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0962DC8B-4D7D-3EF7-191E-13705EDFFD96}"/>
            </a:ext>
          </a:extLst>
        </xdr:cNvPr>
        <xdr:cNvCxnSpPr/>
      </xdr:nvCxnSpPr>
      <xdr:spPr>
        <a:xfrm>
          <a:off x="13536243945" y="37650076"/>
          <a:ext cx="0" cy="386105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644573</xdr:colOff>
      <xdr:row>183</xdr:row>
      <xdr:rowOff>207412</xdr:rowOff>
    </xdr:from>
    <xdr:to>
      <xdr:col>4</xdr:col>
      <xdr:colOff>654146</xdr:colOff>
      <xdr:row>188</xdr:row>
      <xdr:rowOff>57438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01B25D6A-2934-3DB5-C17C-F7A4F6E1DC1E}"/>
            </a:ext>
          </a:extLst>
        </xdr:cNvPr>
        <xdr:cNvCxnSpPr/>
      </xdr:nvCxnSpPr>
      <xdr:spPr>
        <a:xfrm flipH="1">
          <a:off x="13536716206" y="37669221"/>
          <a:ext cx="9573" cy="883895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51767</xdr:colOff>
      <xdr:row>205</xdr:row>
      <xdr:rowOff>51766</xdr:rowOff>
    </xdr:from>
    <xdr:to>
      <xdr:col>4</xdr:col>
      <xdr:colOff>65571</xdr:colOff>
      <xdr:row>210</xdr:row>
      <xdr:rowOff>41414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9BC8A08C-3319-672A-531F-F7F53A7ADD5F}"/>
            </a:ext>
          </a:extLst>
        </xdr:cNvPr>
        <xdr:cNvCxnSpPr/>
      </xdr:nvCxnSpPr>
      <xdr:spPr>
        <a:xfrm flipH="1">
          <a:off x="13510318668" y="41903098"/>
          <a:ext cx="13804" cy="10077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352011</xdr:colOff>
      <xdr:row>213</xdr:row>
      <xdr:rowOff>31060</xdr:rowOff>
    </xdr:from>
    <xdr:to>
      <xdr:col>4</xdr:col>
      <xdr:colOff>355462</xdr:colOff>
      <xdr:row>214</xdr:row>
      <xdr:rowOff>148396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53181A95-95DB-5086-D15D-C49EFEC2686D}"/>
            </a:ext>
          </a:extLst>
        </xdr:cNvPr>
        <xdr:cNvCxnSpPr/>
      </xdr:nvCxnSpPr>
      <xdr:spPr>
        <a:xfrm flipH="1">
          <a:off x="13510028777" y="43511305"/>
          <a:ext cx="3451" cy="3209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103533</xdr:colOff>
      <xdr:row>213</xdr:row>
      <xdr:rowOff>0</xdr:rowOff>
    </xdr:from>
    <xdr:to>
      <xdr:col>3</xdr:col>
      <xdr:colOff>686766</xdr:colOff>
      <xdr:row>214</xdr:row>
      <xdr:rowOff>155299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C78872D4-4491-EA66-71EE-862BF4976F7C}"/>
            </a:ext>
          </a:extLst>
        </xdr:cNvPr>
        <xdr:cNvCxnSpPr/>
      </xdr:nvCxnSpPr>
      <xdr:spPr>
        <a:xfrm>
          <a:off x="13510522283" y="43480245"/>
          <a:ext cx="583233" cy="35891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465669</xdr:colOff>
      <xdr:row>241</xdr:row>
      <xdr:rowOff>139225</xdr:rowOff>
    </xdr:from>
    <xdr:to>
      <xdr:col>10</xdr:col>
      <xdr:colOff>65400</xdr:colOff>
      <xdr:row>251</xdr:row>
      <xdr:rowOff>183368</xdr:rowOff>
    </xdr:to>
    <xdr:pic>
      <xdr:nvPicPr>
        <xdr:cNvPr id="46" name="Picture 45" descr="A humorous illustration of a 40-year-old bald and chubby sausage vendor operating a giant sausage-making machine. The scene is playful and cartoonish, with exaggerated features on the vendor, a shiny bald head, a wide smile, and a cheerful demeanor. The sausage-making machine is oversized, with sausages humorously spilling out of it in all directions. The setting is light-hearted, possibly a vibrant marketplace or a quirky kitchen.">
          <a:extLst>
            <a:ext uri="{FF2B5EF4-FFF2-40B4-BE49-F238E27FC236}">
              <a16:creationId xmlns:a16="http://schemas.microsoft.com/office/drawing/2014/main" id="{25B4D297-11FC-C4B5-1068-C5C598ECF0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1111445" y="30680348"/>
          <a:ext cx="2075212" cy="208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723289</xdr:colOff>
      <xdr:row>263</xdr:row>
      <xdr:rowOff>149411</xdr:rowOff>
    </xdr:from>
    <xdr:to>
      <xdr:col>3</xdr:col>
      <xdr:colOff>323020</xdr:colOff>
      <xdr:row>273</xdr:row>
      <xdr:rowOff>193555</xdr:rowOff>
    </xdr:to>
    <xdr:pic>
      <xdr:nvPicPr>
        <xdr:cNvPr id="47" name="Picture 46" descr="A humorous illustration of a 40-year-old bald and chubby sausage vendor operating a giant sausage-making machine. The scene is playful and cartoonish, with exaggerated features on the vendor, a shiny bald head, a wide smile, and a cheerful demeanor. The sausage-making machine is oversized, with sausages humorously spilling out of it in all directions. The setting is light-hearted, possibly a vibrant marketplace or a quirky kitchen.">
          <a:extLst>
            <a:ext uri="{FF2B5EF4-FFF2-40B4-BE49-F238E27FC236}">
              <a16:creationId xmlns:a16="http://schemas.microsoft.com/office/drawing/2014/main" id="{E466A40E-8885-9B41-9B6F-3C7A366CA5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629948" y="35172887"/>
          <a:ext cx="2075212" cy="20815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339572</xdr:colOff>
      <xdr:row>263</xdr:row>
      <xdr:rowOff>115454</xdr:rowOff>
    </xdr:from>
    <xdr:to>
      <xdr:col>6</xdr:col>
      <xdr:colOff>692726</xdr:colOff>
      <xdr:row>275</xdr:row>
      <xdr:rowOff>44144</xdr:rowOff>
    </xdr:to>
    <xdr:sp macro="" textlink="">
      <xdr:nvSpPr>
        <xdr:cNvPr id="48" name="Rounded Rectangular Callout 47">
          <a:extLst>
            <a:ext uri="{FF2B5EF4-FFF2-40B4-BE49-F238E27FC236}">
              <a16:creationId xmlns:a16="http://schemas.microsoft.com/office/drawing/2014/main" id="{4EC6CB6A-B108-5DA7-C517-32A2868C406E}"/>
            </a:ext>
          </a:extLst>
        </xdr:cNvPr>
        <xdr:cNvSpPr/>
      </xdr:nvSpPr>
      <xdr:spPr>
        <a:xfrm>
          <a:off x="13513784760" y="35138930"/>
          <a:ext cx="2828636" cy="2373610"/>
        </a:xfrm>
        <a:prstGeom prst="wedgeRoundRectCallout">
          <a:avLst>
            <a:gd name="adj1" fmla="val 81448"/>
            <a:gd name="adj2" fmla="val -24958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דגשים:</a:t>
          </a:r>
        </a:p>
        <a:p>
          <a:pPr algn="r" rtl="1"/>
          <a:r>
            <a:rPr lang="he-IL" sz="1100"/>
            <a:t>א. שירן: שי, תדגיש להם שהריבית היא 1 משום שהריבית השנתית של 12.6825% לא מתאימה לתקופת תשלום של חודש. לכן תיקנת את הריבית (חזקת 1/12) כדי לבטא ריבית לחודש.</a:t>
          </a:r>
        </a:p>
        <a:p>
          <a:pPr algn="r" rtl="1"/>
          <a:endParaRPr lang="he-IL" sz="1100"/>
        </a:p>
        <a:p>
          <a:pPr algn="r" rtl="1"/>
          <a:r>
            <a:rPr lang="he-IL" sz="1100"/>
            <a:t>ב. איהם: שי, תדגיש להם: כשאתה משלם בעד מכונה, המטרה היא שהשווי של מה שאתה משלם כלומר P</a:t>
          </a:r>
          <a:r>
            <a:rPr lang="en-US" sz="1100"/>
            <a:t>V</a:t>
          </a:r>
          <a:r>
            <a:rPr lang="he-IL" sz="1100" baseline="0"/>
            <a:t> יהיה כמה שיותר ״נמוך״ כי מדובר במה שאתה </a:t>
          </a:r>
          <a:r>
            <a:rPr lang="he-IL" sz="1100" u="sng" baseline="0"/>
            <a:t>משלם</a:t>
          </a:r>
          <a:r>
            <a:rPr lang="he-IL" sz="1100" baseline="0"/>
            <a:t>, אתה רוצה לשלם מחיר ״נמוך״. </a:t>
          </a:r>
          <a:endParaRPr lang="he-IL" sz="1100"/>
        </a:p>
        <a:p>
          <a:pPr algn="r" rtl="1"/>
          <a:endParaRPr lang="he-IL" sz="1100"/>
        </a:p>
        <a:p>
          <a:pPr algn="r" rtl="1"/>
          <a:endParaRPr lang="en-US" sz="1100"/>
        </a:p>
      </xdr:txBody>
    </xdr:sp>
    <xdr:clientData/>
  </xdr:twoCellAnchor>
  <xdr:twoCellAnchor>
    <xdr:from>
      <xdr:col>6</xdr:col>
      <xdr:colOff>743662</xdr:colOff>
      <xdr:row>265</xdr:row>
      <xdr:rowOff>101871</xdr:rowOff>
    </xdr:from>
    <xdr:to>
      <xdr:col>7</xdr:col>
      <xdr:colOff>543315</xdr:colOff>
      <xdr:row>265</xdr:row>
      <xdr:rowOff>108663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F07411C0-BD93-76B9-2B31-0A74E2251A15}"/>
            </a:ext>
          </a:extLst>
        </xdr:cNvPr>
        <xdr:cNvCxnSpPr/>
      </xdr:nvCxnSpPr>
      <xdr:spPr>
        <a:xfrm flipH="1">
          <a:off x="13513109011" y="35532834"/>
          <a:ext cx="624813" cy="679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498143</xdr:colOff>
      <xdr:row>277</xdr:row>
      <xdr:rowOff>45358</xdr:rowOff>
    </xdr:from>
    <xdr:to>
      <xdr:col>7</xdr:col>
      <xdr:colOff>821204</xdr:colOff>
      <xdr:row>286</xdr:row>
      <xdr:rowOff>192254</xdr:rowOff>
    </xdr:to>
    <xdr:pic>
      <xdr:nvPicPr>
        <xdr:cNvPr id="51" name="Picture 50" descr="A humorous cartoon-style illustration of a young, slim man in his late 20s with a full head of hair, wearing a black Nike logo shirt and sporting a small, neat French-style goatee. He is inside a lively college setting, surrounded by classroom furniture and books, while comically heating a hilariously oversized sausage with a quirky-looking heater. The scene is playful, with exaggerated expressions and humorous details, including amused students in the background, making the overall atmosphere fun and vibrant.">
          <a:extLst>
            <a:ext uri="{FF2B5EF4-FFF2-40B4-BE49-F238E27FC236}">
              <a16:creationId xmlns:a16="http://schemas.microsoft.com/office/drawing/2014/main" id="{13F466E4-46FD-C539-92B9-ABA34CCDE4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0147743" y="37909819"/>
          <a:ext cx="1971833" cy="19802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425802</xdr:colOff>
      <xdr:row>297</xdr:row>
      <xdr:rowOff>25918</xdr:rowOff>
    </xdr:from>
    <xdr:to>
      <xdr:col>5</xdr:col>
      <xdr:colOff>425802</xdr:colOff>
      <xdr:row>298</xdr:row>
      <xdr:rowOff>40729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E5EBFE80-173F-95F4-EF69-2288C6B99425}"/>
            </a:ext>
          </a:extLst>
        </xdr:cNvPr>
        <xdr:cNvCxnSpPr/>
      </xdr:nvCxnSpPr>
      <xdr:spPr>
        <a:xfrm>
          <a:off x="13523470962" y="41935918"/>
          <a:ext cx="0" cy="218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640554</xdr:colOff>
      <xdr:row>303</xdr:row>
      <xdr:rowOff>51836</xdr:rowOff>
    </xdr:from>
    <xdr:to>
      <xdr:col>3</xdr:col>
      <xdr:colOff>509404</xdr:colOff>
      <xdr:row>310</xdr:row>
      <xdr:rowOff>150598</xdr:rowOff>
    </xdr:to>
    <xdr:pic>
      <xdr:nvPicPr>
        <xdr:cNvPr id="55" name="Picture 54" descr="A humorous cartoon-style illustration of a young, slim man in his late 20s with a full head of hair, wearing a black Nike logo shirt and sporting a small, neat French-style goatee. He is inside a lively college setting, surrounded by classroom furniture and books, while comically heating a hilariously oversized sausage with a quirky-looking heater. The scene is playful, with exaggerated expressions and humorous details, including amused students in the background, making the overall atmosphere fun and vibrant.">
          <a:extLst>
            <a:ext uri="{FF2B5EF4-FFF2-40B4-BE49-F238E27FC236}">
              <a16:creationId xmlns:a16="http://schemas.microsoft.com/office/drawing/2014/main" id="{4AF39B95-97CF-6B48-A8E3-B94B9110A9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5038731" y="43183702"/>
          <a:ext cx="1520220" cy="15242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444315</xdr:colOff>
      <xdr:row>304</xdr:row>
      <xdr:rowOff>85160</xdr:rowOff>
    </xdr:from>
    <xdr:to>
      <xdr:col>5</xdr:col>
      <xdr:colOff>596122</xdr:colOff>
      <xdr:row>308</xdr:row>
      <xdr:rowOff>170321</xdr:rowOff>
    </xdr:to>
    <xdr:sp macro="" textlink="">
      <xdr:nvSpPr>
        <xdr:cNvPr id="56" name="Rounded Rectangular Callout 55">
          <a:extLst>
            <a:ext uri="{FF2B5EF4-FFF2-40B4-BE49-F238E27FC236}">
              <a16:creationId xmlns:a16="http://schemas.microsoft.com/office/drawing/2014/main" id="{B86511BB-D707-DC1F-5E47-8B6CCF145E91}"/>
            </a:ext>
          </a:extLst>
        </xdr:cNvPr>
        <xdr:cNvSpPr/>
      </xdr:nvSpPr>
      <xdr:spPr>
        <a:xfrm>
          <a:off x="13523300642" y="43420670"/>
          <a:ext cx="1803178" cy="899738"/>
        </a:xfrm>
        <a:prstGeom prst="wedgeRoundRectCallout">
          <a:avLst>
            <a:gd name="adj1" fmla="val 68284"/>
            <a:gd name="adj2" fmla="val 1535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עידו: אני מעדיף את החלופה שהשווי שלה היום הוא כמה שיותר גבוה. במקרה זה, אעדיף את חלופה</a:t>
          </a:r>
          <a:r>
            <a:rPr lang="he-IL" sz="1100" baseline="0"/>
            <a:t> מס׳ 1. </a:t>
          </a:r>
          <a:endParaRPr lang="en-US" sz="1100"/>
        </a:p>
      </xdr:txBody>
    </xdr:sp>
    <xdr:clientData/>
  </xdr:twoCellAnchor>
  <xdr:twoCellAnchor editAs="oneCell">
    <xdr:from>
      <xdr:col>2</xdr:col>
      <xdr:colOff>709117</xdr:colOff>
      <xdr:row>326</xdr:row>
      <xdr:rowOff>202573</xdr:rowOff>
    </xdr:from>
    <xdr:to>
      <xdr:col>3</xdr:col>
      <xdr:colOff>654351</xdr:colOff>
      <xdr:row>330</xdr:row>
      <xdr:rowOff>160254</xdr:rowOff>
    </xdr:to>
    <xdr:pic>
      <xdr:nvPicPr>
        <xdr:cNvPr id="57" name="Picture 56" descr="A humorous cartoon-style illustration of the same man, now older and retired, with a receding hairline but still with some hair and his small French-style goatee. He is wearing comfortable casual clothes and sitting on a cozy porch, enjoying a relaxed moment. He has a nostalgic smile as he holds a jelly-filled doughnut in one hand and humorously heats a sausage on a small quirky heater beside him. The setting is peaceful and cheerful, with vibrant details like a sunny garden, birds, and a lighthearted atmosphere that captures the joy of retirement.">
          <a:extLst>
            <a:ext uri="{FF2B5EF4-FFF2-40B4-BE49-F238E27FC236}">
              <a16:creationId xmlns:a16="http://schemas.microsoft.com/office/drawing/2014/main" id="{D81E6639-C704-2AA1-0B98-0DA5CA8EF7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579782" y="48182131"/>
          <a:ext cx="770534" cy="7749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258537</xdr:colOff>
      <xdr:row>324</xdr:row>
      <xdr:rowOff>125970</xdr:rowOff>
    </xdr:from>
    <xdr:to>
      <xdr:col>7</xdr:col>
      <xdr:colOff>12840</xdr:colOff>
      <xdr:row>331</xdr:row>
      <xdr:rowOff>109051</xdr:rowOff>
    </xdr:to>
    <xdr:pic>
      <xdr:nvPicPr>
        <xdr:cNvPr id="58" name="Picture 57" descr="A humorous cartoon-style illustration of a young, slim man in his late 20s with a full head of hair, wearing a black Nike logo shirt and sporting a small, neat French-style goatee. He is inside a lively college setting, comically heating a hilariously oversized sausage with a quirky-looking heater while also eating a jelly-filled doughnut. The scene is playful and exaggerated, with funny details like jelly oozing out of the doughnut, the man's over-the-top happy expression, and amused students laughing in the background. The overall atmosphere is vibrant and full of humor.">
          <a:extLst>
            <a:ext uri="{FF2B5EF4-FFF2-40B4-BE49-F238E27FC236}">
              <a16:creationId xmlns:a16="http://schemas.microsoft.com/office/drawing/2014/main" id="{C7743AF8-10B1-10B2-25D5-4302C9028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9200660" y="66737470"/>
          <a:ext cx="1405303" cy="1411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544858</xdr:colOff>
      <xdr:row>333</xdr:row>
      <xdr:rowOff>80126</xdr:rowOff>
    </xdr:from>
    <xdr:to>
      <xdr:col>9</xdr:col>
      <xdr:colOff>228360</xdr:colOff>
      <xdr:row>333</xdr:row>
      <xdr:rowOff>104164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C0C46102-6AF9-6387-DEB6-AF2AF51D4572}"/>
            </a:ext>
          </a:extLst>
        </xdr:cNvPr>
        <xdr:cNvCxnSpPr/>
      </xdr:nvCxnSpPr>
      <xdr:spPr>
        <a:xfrm flipV="1">
          <a:off x="13514053975" y="49489937"/>
          <a:ext cx="7111199" cy="240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332522</xdr:colOff>
      <xdr:row>335</xdr:row>
      <xdr:rowOff>88139</xdr:rowOff>
    </xdr:from>
    <xdr:to>
      <xdr:col>7</xdr:col>
      <xdr:colOff>416655</xdr:colOff>
      <xdr:row>336</xdr:row>
      <xdr:rowOff>104164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123A9964-B0FB-4549-41E8-5275216E0EB9}"/>
            </a:ext>
          </a:extLst>
        </xdr:cNvPr>
        <xdr:cNvSpPr/>
      </xdr:nvSpPr>
      <xdr:spPr>
        <a:xfrm rot="16200000">
          <a:off x="13516273472" y="49149400"/>
          <a:ext cx="220347" cy="1734733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292458</xdr:colOff>
      <xdr:row>335</xdr:row>
      <xdr:rowOff>60093</xdr:rowOff>
    </xdr:from>
    <xdr:to>
      <xdr:col>4</xdr:col>
      <xdr:colOff>765203</xdr:colOff>
      <xdr:row>336</xdr:row>
      <xdr:rowOff>88138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931451A7-C780-D036-03BB-B216F3FAF765}"/>
            </a:ext>
          </a:extLst>
        </xdr:cNvPr>
        <xdr:cNvSpPr/>
      </xdr:nvSpPr>
      <xdr:spPr>
        <a:xfrm rot="16200000">
          <a:off x="13519001768" y="48520409"/>
          <a:ext cx="232367" cy="2948644"/>
        </a:xfrm>
        <a:prstGeom prst="leftBrace">
          <a:avLst>
            <a:gd name="adj1" fmla="val 8333"/>
            <a:gd name="adj2" fmla="val 64674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96152</xdr:colOff>
      <xdr:row>326</xdr:row>
      <xdr:rowOff>76120</xdr:rowOff>
    </xdr:from>
    <xdr:to>
      <xdr:col>8</xdr:col>
      <xdr:colOff>292461</xdr:colOff>
      <xdr:row>329</xdr:row>
      <xdr:rowOff>192302</xdr:rowOff>
    </xdr:to>
    <xdr:sp macro="" textlink="">
      <xdr:nvSpPr>
        <xdr:cNvPr id="64" name="Rounded Rectangular Callout 63">
          <a:extLst>
            <a:ext uri="{FF2B5EF4-FFF2-40B4-BE49-F238E27FC236}">
              <a16:creationId xmlns:a16="http://schemas.microsoft.com/office/drawing/2014/main" id="{C19F21C8-4128-CD06-A1B1-CBED667DE16D}"/>
            </a:ext>
          </a:extLst>
        </xdr:cNvPr>
        <xdr:cNvSpPr/>
      </xdr:nvSpPr>
      <xdr:spPr>
        <a:xfrm>
          <a:off x="13514815174" y="48055678"/>
          <a:ext cx="1021608" cy="729148"/>
        </a:xfrm>
        <a:prstGeom prst="wedgeRoundRectCallout">
          <a:avLst>
            <a:gd name="adj1" fmla="val 70932"/>
            <a:gd name="adj2" fmla="val 206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אני צעיר ורענן</a:t>
          </a:r>
          <a:r>
            <a:rPr lang="he-IL" sz="1100" baseline="0"/>
            <a:t> מפקיד כל חודש 23 שנה</a:t>
          </a:r>
          <a:endParaRPr lang="en-US" sz="1100"/>
        </a:p>
      </xdr:txBody>
    </xdr:sp>
    <xdr:clientData/>
  </xdr:twoCellAnchor>
  <xdr:twoCellAnchor>
    <xdr:from>
      <xdr:col>0</xdr:col>
      <xdr:colOff>725142</xdr:colOff>
      <xdr:row>326</xdr:row>
      <xdr:rowOff>168264</xdr:rowOff>
    </xdr:from>
    <xdr:to>
      <xdr:col>2</xdr:col>
      <xdr:colOff>677067</xdr:colOff>
      <xdr:row>330</xdr:row>
      <xdr:rowOff>80125</xdr:rowOff>
    </xdr:to>
    <xdr:sp macro="" textlink="">
      <xdr:nvSpPr>
        <xdr:cNvPr id="65" name="Rounded Rectangular Callout 64">
          <a:extLst>
            <a:ext uri="{FF2B5EF4-FFF2-40B4-BE49-F238E27FC236}">
              <a16:creationId xmlns:a16="http://schemas.microsoft.com/office/drawing/2014/main" id="{F6FD78D5-0126-D114-4418-80C1CAB61AA8}"/>
            </a:ext>
          </a:extLst>
        </xdr:cNvPr>
        <xdr:cNvSpPr/>
      </xdr:nvSpPr>
      <xdr:spPr>
        <a:xfrm>
          <a:off x="13519382366" y="48147822"/>
          <a:ext cx="1602524" cy="729148"/>
        </a:xfrm>
        <a:prstGeom prst="wedgeRoundRectCallout">
          <a:avLst>
            <a:gd name="adj1" fmla="val -63186"/>
            <a:gd name="adj2" fmla="val -1607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אני מבוגר וחייכן, מושך כל</a:t>
          </a:r>
          <a:r>
            <a:rPr lang="he-IL" sz="1100" baseline="0"/>
            <a:t> חודש 75 שנה</a:t>
          </a:r>
          <a:endParaRPr lang="en-US" sz="1100"/>
        </a:p>
      </xdr:txBody>
    </xdr:sp>
    <xdr:clientData/>
  </xdr:twoCellAnchor>
  <xdr:twoCellAnchor>
    <xdr:from>
      <xdr:col>4</xdr:col>
      <xdr:colOff>769212</xdr:colOff>
      <xdr:row>335</xdr:row>
      <xdr:rowOff>200316</xdr:rowOff>
    </xdr:from>
    <xdr:to>
      <xdr:col>4</xdr:col>
      <xdr:colOff>769212</xdr:colOff>
      <xdr:row>338</xdr:row>
      <xdr:rowOff>168265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5C879FB8-ECF0-5120-4235-9E1EE2D8221F}"/>
            </a:ext>
          </a:extLst>
        </xdr:cNvPr>
        <xdr:cNvCxnSpPr/>
      </xdr:nvCxnSpPr>
      <xdr:spPr>
        <a:xfrm>
          <a:off x="13517639621" y="50018770"/>
          <a:ext cx="0" cy="58091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769212</xdr:colOff>
      <xdr:row>338</xdr:row>
      <xdr:rowOff>164258</xdr:rowOff>
    </xdr:from>
    <xdr:to>
      <xdr:col>5</xdr:col>
      <xdr:colOff>372588</xdr:colOff>
      <xdr:row>338</xdr:row>
      <xdr:rowOff>172271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C7654FC-1C22-CE7F-7699-883E60B9AFB6}"/>
            </a:ext>
          </a:extLst>
        </xdr:cNvPr>
        <xdr:cNvCxnSpPr/>
      </xdr:nvCxnSpPr>
      <xdr:spPr>
        <a:xfrm flipH="1">
          <a:off x="13517210946" y="50595678"/>
          <a:ext cx="428675" cy="8013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372588</xdr:colOff>
      <xdr:row>336</xdr:row>
      <xdr:rowOff>152240</xdr:rowOff>
    </xdr:from>
    <xdr:to>
      <xdr:col>5</xdr:col>
      <xdr:colOff>376594</xdr:colOff>
      <xdr:row>338</xdr:row>
      <xdr:rowOff>180283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6B9FCEC-7E32-9C87-5343-A21ADFE3EEC3}"/>
            </a:ext>
          </a:extLst>
        </xdr:cNvPr>
        <xdr:cNvCxnSpPr/>
      </xdr:nvCxnSpPr>
      <xdr:spPr>
        <a:xfrm flipH="1" flipV="1">
          <a:off x="13517206940" y="50175016"/>
          <a:ext cx="4006" cy="436687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592934</xdr:colOff>
      <xdr:row>339</xdr:row>
      <xdr:rowOff>196309</xdr:rowOff>
    </xdr:from>
    <xdr:to>
      <xdr:col>1</xdr:col>
      <xdr:colOff>777224</xdr:colOff>
      <xdr:row>340</xdr:row>
      <xdr:rowOff>200316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C04D2C07-B6B1-028C-95BF-AE1865C7C4DC}"/>
            </a:ext>
          </a:extLst>
        </xdr:cNvPr>
        <xdr:cNvSpPr/>
      </xdr:nvSpPr>
      <xdr:spPr>
        <a:xfrm>
          <a:off x="13520107508" y="50832050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632998</xdr:colOff>
      <xdr:row>340</xdr:row>
      <xdr:rowOff>180284</xdr:rowOff>
    </xdr:from>
    <xdr:to>
      <xdr:col>5</xdr:col>
      <xdr:colOff>817288</xdr:colOff>
      <xdr:row>341</xdr:row>
      <xdr:rowOff>184291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A2E8308B-8CE8-F42C-0A94-3B6E8358D052}"/>
            </a:ext>
          </a:extLst>
        </xdr:cNvPr>
        <xdr:cNvSpPr/>
      </xdr:nvSpPr>
      <xdr:spPr>
        <a:xfrm>
          <a:off x="13516766246" y="51020347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665048</xdr:colOff>
      <xdr:row>338</xdr:row>
      <xdr:rowOff>184290</xdr:rowOff>
    </xdr:from>
    <xdr:to>
      <xdr:col>6</xdr:col>
      <xdr:colOff>24038</xdr:colOff>
      <xdr:row>339</xdr:row>
      <xdr:rowOff>188298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47B007AB-EE03-4909-C9C0-93DE4AFD7429}"/>
            </a:ext>
          </a:extLst>
        </xdr:cNvPr>
        <xdr:cNvSpPr/>
      </xdr:nvSpPr>
      <xdr:spPr>
        <a:xfrm>
          <a:off x="13516734196" y="50615710"/>
          <a:ext cx="184290" cy="2083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689147</xdr:colOff>
      <xdr:row>18</xdr:row>
      <xdr:rowOff>164081</xdr:rowOff>
    </xdr:from>
    <xdr:to>
      <xdr:col>4</xdr:col>
      <xdr:colOff>490409</xdr:colOff>
      <xdr:row>25</xdr:row>
      <xdr:rowOff>195059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A12501-0CAE-5195-E220-C67E653C1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5388661" y="3826407"/>
          <a:ext cx="1455216" cy="1455216"/>
        </a:xfrm>
        <a:prstGeom prst="rect">
          <a:avLst/>
        </a:prstGeom>
      </xdr:spPr>
    </xdr:pic>
    <xdr:clientData/>
  </xdr:twoCellAnchor>
  <xdr:twoCellAnchor>
    <xdr:from>
      <xdr:col>4</xdr:col>
      <xdr:colOff>490409</xdr:colOff>
      <xdr:row>22</xdr:row>
      <xdr:rowOff>75478</xdr:rowOff>
    </xdr:from>
    <xdr:to>
      <xdr:col>5</xdr:col>
      <xdr:colOff>777752</xdr:colOff>
      <xdr:row>22</xdr:row>
      <xdr:rowOff>77839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876F60D-C11B-DB55-E2A3-3C076CA4EF5A}"/>
            </a:ext>
          </a:extLst>
        </xdr:cNvPr>
        <xdr:cNvCxnSpPr>
          <a:stCxn id="2" idx="1"/>
        </xdr:cNvCxnSpPr>
      </xdr:nvCxnSpPr>
      <xdr:spPr>
        <a:xfrm flipH="1" flipV="1">
          <a:off x="13544274341" y="4551654"/>
          <a:ext cx="1114320" cy="23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255970</xdr:colOff>
      <xdr:row>18</xdr:row>
      <xdr:rowOff>134547</xdr:rowOff>
    </xdr:from>
    <xdr:to>
      <xdr:col>2</xdr:col>
      <xdr:colOff>528348</xdr:colOff>
      <xdr:row>21</xdr:row>
      <xdr:rowOff>196900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DA45A7CC-8F7D-0BEC-01BD-FC3ECBC458EA}"/>
            </a:ext>
          </a:extLst>
        </xdr:cNvPr>
        <xdr:cNvCxnSpPr/>
      </xdr:nvCxnSpPr>
      <xdr:spPr>
        <a:xfrm flipH="1">
          <a:off x="13547004676" y="3796873"/>
          <a:ext cx="1099354" cy="672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274130</xdr:colOff>
      <xdr:row>19</xdr:row>
      <xdr:rowOff>11116</xdr:rowOff>
    </xdr:from>
    <xdr:to>
      <xdr:col>2</xdr:col>
      <xdr:colOff>603364</xdr:colOff>
      <xdr:row>20</xdr:row>
      <xdr:rowOff>28534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2F3E852D-A38B-4205-6DC2-178148179094}"/>
            </a:ext>
          </a:extLst>
        </xdr:cNvPr>
        <xdr:cNvSpPr/>
      </xdr:nvSpPr>
      <xdr:spPr>
        <a:xfrm rot="19593955">
          <a:off x="13546929660" y="387690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נקובה / חוזית</a:t>
          </a:r>
          <a:endParaRPr lang="en-US" sz="900"/>
        </a:p>
      </xdr:txBody>
    </xdr:sp>
    <xdr:clientData/>
  </xdr:twoCellAnchor>
  <xdr:twoCellAnchor>
    <xdr:from>
      <xdr:col>0</xdr:col>
      <xdr:colOff>666176</xdr:colOff>
      <xdr:row>22</xdr:row>
      <xdr:rowOff>124703</xdr:rowOff>
    </xdr:from>
    <xdr:to>
      <xdr:col>2</xdr:col>
      <xdr:colOff>548037</xdr:colOff>
      <xdr:row>22</xdr:row>
      <xdr:rowOff>144392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D0F94E3-D26F-9D66-73CF-00272B1E0963}"/>
            </a:ext>
          </a:extLst>
        </xdr:cNvPr>
        <xdr:cNvCxnSpPr/>
      </xdr:nvCxnSpPr>
      <xdr:spPr>
        <a:xfrm flipH="1">
          <a:off x="13546984987" y="4600879"/>
          <a:ext cx="1535814" cy="196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766377</xdr:colOff>
      <xdr:row>21</xdr:row>
      <xdr:rowOff>80031</xdr:rowOff>
    </xdr:from>
    <xdr:to>
      <xdr:col>2</xdr:col>
      <xdr:colOff>268634</xdr:colOff>
      <xdr:row>22</xdr:row>
      <xdr:rowOff>97449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EA768E79-4396-63D6-7F0D-F46C9E7AAF3E}"/>
            </a:ext>
          </a:extLst>
        </xdr:cNvPr>
        <xdr:cNvSpPr/>
      </xdr:nvSpPr>
      <xdr:spPr>
        <a:xfrm>
          <a:off x="13547264390" y="435274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דריבית</a:t>
          </a:r>
          <a:endParaRPr lang="en-US" sz="900"/>
        </a:p>
      </xdr:txBody>
    </xdr:sp>
    <xdr:clientData/>
  </xdr:twoCellAnchor>
  <xdr:twoCellAnchor>
    <xdr:from>
      <xdr:col>1</xdr:col>
      <xdr:colOff>19690</xdr:colOff>
      <xdr:row>23</xdr:row>
      <xdr:rowOff>105013</xdr:rowOff>
    </xdr:from>
    <xdr:to>
      <xdr:col>2</xdr:col>
      <xdr:colOff>544755</xdr:colOff>
      <xdr:row>26</xdr:row>
      <xdr:rowOff>141111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2A4A04FD-9582-EFBD-CB77-CDD4044220E4}"/>
            </a:ext>
          </a:extLst>
        </xdr:cNvPr>
        <xdr:cNvCxnSpPr/>
      </xdr:nvCxnSpPr>
      <xdr:spPr>
        <a:xfrm flipH="1" flipV="1">
          <a:off x="13546988269" y="4784651"/>
          <a:ext cx="1352041" cy="6464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756533</xdr:colOff>
      <xdr:row>24</xdr:row>
      <xdr:rowOff>47213</xdr:rowOff>
    </xdr:from>
    <xdr:to>
      <xdr:col>2</xdr:col>
      <xdr:colOff>258790</xdr:colOff>
      <xdr:row>25</xdr:row>
      <xdr:rowOff>64632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2AC9C701-C7E2-B1B4-1670-98C0FE8BCE42}"/>
            </a:ext>
          </a:extLst>
        </xdr:cNvPr>
        <xdr:cNvSpPr/>
      </xdr:nvSpPr>
      <xdr:spPr>
        <a:xfrm rot="1541281">
          <a:off x="13547274234" y="4930314"/>
          <a:ext cx="1156210" cy="22088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ריבית מראש</a:t>
          </a:r>
          <a:r>
            <a:rPr lang="he-IL" sz="900" baseline="0"/>
            <a:t> ועמלות</a:t>
          </a:r>
          <a:endParaRPr lang="en-US" sz="900"/>
        </a:p>
      </xdr:txBody>
    </xdr:sp>
    <xdr:clientData/>
  </xdr:twoCellAnchor>
  <xdr:twoCellAnchor>
    <xdr:from>
      <xdr:col>2</xdr:col>
      <xdr:colOff>758063</xdr:colOff>
      <xdr:row>45</xdr:row>
      <xdr:rowOff>118139</xdr:rowOff>
    </xdr:from>
    <xdr:to>
      <xdr:col>7</xdr:col>
      <xdr:colOff>525066</xdr:colOff>
      <xdr:row>45</xdr:row>
      <xdr:rowOff>118139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6E656153-39B4-03AC-BCE3-BD9ECFC65049}"/>
            </a:ext>
          </a:extLst>
        </xdr:cNvPr>
        <xdr:cNvCxnSpPr/>
      </xdr:nvCxnSpPr>
      <xdr:spPr>
        <a:xfrm>
          <a:off x="13542873074" y="9378966"/>
          <a:ext cx="390188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465995</xdr:colOff>
      <xdr:row>41</xdr:row>
      <xdr:rowOff>183772</xdr:rowOff>
    </xdr:from>
    <xdr:to>
      <xdr:col>7</xdr:col>
      <xdr:colOff>387236</xdr:colOff>
      <xdr:row>43</xdr:row>
      <xdr:rowOff>29535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E0B9BF35-10B7-08EB-296D-4F0DAC1C9A07}"/>
            </a:ext>
          </a:extLst>
        </xdr:cNvPr>
        <xdr:cNvSpPr/>
      </xdr:nvSpPr>
      <xdr:spPr>
        <a:xfrm rot="5400000">
          <a:off x="13544499134" y="7142519"/>
          <a:ext cx="252688" cy="322914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469278</xdr:colOff>
      <xdr:row>40</xdr:row>
      <xdr:rowOff>176160</xdr:rowOff>
    </xdr:from>
    <xdr:ext cx="150368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17B8E36-B061-28A2-6013-099D70B21046}"/>
                </a:ext>
              </a:extLst>
            </xdr:cNvPr>
            <xdr:cNvSpPr txBox="1"/>
          </xdr:nvSpPr>
          <xdr:spPr>
            <a:xfrm>
              <a:off x="13543906103" y="8419674"/>
              <a:ext cx="150368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17B8E36-B061-28A2-6013-099D70B21046}"/>
                </a:ext>
              </a:extLst>
            </xdr:cNvPr>
            <xdr:cNvSpPr txBox="1"/>
          </xdr:nvSpPr>
          <xdr:spPr>
            <a:xfrm>
              <a:off x="13543906103" y="8419674"/>
              <a:ext cx="150368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𝑟_𝐶=10%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118141</xdr:colOff>
      <xdr:row>42</xdr:row>
      <xdr:rowOff>44893</xdr:rowOff>
    </xdr:from>
    <xdr:ext cx="54147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97A84EE-8DD9-4B95-BA9E-2005B8C1E251}"/>
                </a:ext>
              </a:extLst>
            </xdr:cNvPr>
            <xdr:cNvSpPr txBox="1"/>
          </xdr:nvSpPr>
          <xdr:spPr>
            <a:xfrm>
              <a:off x="13548527364" y="8695332"/>
              <a:ext cx="54147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97A84EE-8DD9-4B95-BA9E-2005B8C1E251}"/>
                </a:ext>
              </a:extLst>
            </xdr:cNvPr>
            <xdr:cNvSpPr txBox="1"/>
          </xdr:nvSpPr>
          <xdr:spPr>
            <a:xfrm>
              <a:off x="13548527364" y="8695332"/>
              <a:ext cx="54147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377391</xdr:colOff>
      <xdr:row>46</xdr:row>
      <xdr:rowOff>160801</xdr:rowOff>
    </xdr:from>
    <xdr:to>
      <xdr:col>7</xdr:col>
      <xdr:colOff>413490</xdr:colOff>
      <xdr:row>48</xdr:row>
      <xdr:rowOff>6564</xdr:rowOff>
    </xdr:to>
    <xdr:sp macro="" textlink="">
      <xdr:nvSpPr>
        <xdr:cNvPr id="23" name="Left Brace 22">
          <a:extLst>
            <a:ext uri="{FF2B5EF4-FFF2-40B4-BE49-F238E27FC236}">
              <a16:creationId xmlns:a16="http://schemas.microsoft.com/office/drawing/2014/main" id="{0D7FADBC-9F7A-02E6-0AD8-7EEAC4B0BC99}"/>
            </a:ext>
          </a:extLst>
        </xdr:cNvPr>
        <xdr:cNvSpPr/>
      </xdr:nvSpPr>
      <xdr:spPr>
        <a:xfrm rot="16200000">
          <a:off x="13543289844" y="9319896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157521</xdr:colOff>
      <xdr:row>48</xdr:row>
      <xdr:rowOff>18640</xdr:rowOff>
    </xdr:from>
    <xdr:ext cx="1503689" cy="23044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4408A38-D2DB-DFB9-35C6-71ABE088776D}"/>
                </a:ext>
              </a:extLst>
            </xdr:cNvPr>
            <xdr:cNvSpPr txBox="1"/>
          </xdr:nvSpPr>
          <xdr:spPr>
            <a:xfrm>
              <a:off x="13542563907" y="9889854"/>
              <a:ext cx="1503689" cy="2304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8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d>
                      <m:d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en-US" sz="8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10%</m:t>
                        </m:r>
                      </m:num>
                      <m:den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4</m:t>
                        </m:r>
                      </m:den>
                    </m:f>
                    <m:r>
                      <a:rPr lang="he-IL" sz="800" b="0" i="1">
                        <a:latin typeface="Cambria Math" panose="02040503050406030204" pitchFamily="18" charset="0"/>
                      </a:rPr>
                      <m:t>=2.5%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54408A38-D2DB-DFB9-35C6-71ABE088776D}"/>
                </a:ext>
              </a:extLst>
            </xdr:cNvPr>
            <xdr:cNvSpPr txBox="1"/>
          </xdr:nvSpPr>
          <xdr:spPr>
            <a:xfrm>
              <a:off x="13542563907" y="9889854"/>
              <a:ext cx="1503689" cy="23044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𝑟_𝐶</a:t>
              </a:r>
              <a:r>
                <a:rPr lang="he-IL" sz="800" b="0" i="0">
                  <a:latin typeface="Cambria Math" panose="02040503050406030204" pitchFamily="18" charset="0"/>
                </a:rPr>
                <a:t> (רבעון)</a:t>
              </a:r>
              <a:r>
                <a:rPr lang="en-US" sz="800" b="0" i="0">
                  <a:latin typeface="Cambria Math" panose="02040503050406030204" pitchFamily="18" charset="0"/>
                </a:rPr>
                <a:t>=</a:t>
              </a:r>
              <a:r>
                <a:rPr lang="he-IL" sz="800" b="0" i="0">
                  <a:latin typeface="Cambria Math" panose="02040503050406030204" pitchFamily="18" charset="0"/>
                </a:rPr>
                <a:t>(10%)/4=2.5%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5</xdr:col>
      <xdr:colOff>488968</xdr:colOff>
      <xdr:row>46</xdr:row>
      <xdr:rowOff>31766</xdr:rowOff>
    </xdr:from>
    <xdr:ext cx="150368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17B86338-6916-6379-17B4-6301F0A5D802}"/>
                </a:ext>
              </a:extLst>
            </xdr:cNvPr>
            <xdr:cNvSpPr txBox="1"/>
          </xdr:nvSpPr>
          <xdr:spPr>
            <a:xfrm>
              <a:off x="13543059436" y="949605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100∗(1+2.5%)</m:t>
                    </m:r>
                  </m:oMath>
                </m:oMathPara>
              </a14:m>
              <a:endParaRPr lang="en-US" sz="8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17B86338-6916-6379-17B4-6301F0A5D802}"/>
                </a:ext>
              </a:extLst>
            </xdr:cNvPr>
            <xdr:cNvSpPr txBox="1"/>
          </xdr:nvSpPr>
          <xdr:spPr>
            <a:xfrm>
              <a:off x="13543059436" y="949605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100∗(1+2.5%)</a:t>
              </a:r>
              <a:endParaRPr lang="en-US" sz="8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305194</xdr:colOff>
      <xdr:row>46</xdr:row>
      <xdr:rowOff>157519</xdr:rowOff>
    </xdr:from>
    <xdr:to>
      <xdr:col>6</xdr:col>
      <xdr:colOff>341294</xdr:colOff>
      <xdr:row>48</xdr:row>
      <xdr:rowOff>3282</xdr:rowOff>
    </xdr:to>
    <xdr:sp macro="" textlink="">
      <xdr:nvSpPr>
        <xdr:cNvPr id="26" name="Left Brace 25">
          <a:extLst>
            <a:ext uri="{FF2B5EF4-FFF2-40B4-BE49-F238E27FC236}">
              <a16:creationId xmlns:a16="http://schemas.microsoft.com/office/drawing/2014/main" id="{F3C69845-4CA2-64C9-7724-A851C365C086}"/>
            </a:ext>
          </a:extLst>
        </xdr:cNvPr>
        <xdr:cNvSpPr/>
      </xdr:nvSpPr>
      <xdr:spPr>
        <a:xfrm rot="16200000">
          <a:off x="13544189017" y="9316614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708838</xdr:colOff>
      <xdr:row>48</xdr:row>
      <xdr:rowOff>64583</xdr:rowOff>
    </xdr:from>
    <xdr:ext cx="1503689" cy="14388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67514E6-D0CE-CF2E-AD7C-D6249696C955}"/>
                </a:ext>
              </a:extLst>
            </xdr:cNvPr>
            <xdr:cNvSpPr txBox="1"/>
          </xdr:nvSpPr>
          <xdr:spPr>
            <a:xfrm>
              <a:off x="13543666543" y="9935797"/>
              <a:ext cx="1503689" cy="1438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8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8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d>
                      <m:d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רבעון</m:t>
                        </m:r>
                      </m:e>
                    </m:d>
                    <m:r>
                      <a:rPr lang="he-IL" sz="800" b="0" i="1">
                        <a:latin typeface="Cambria Math" panose="02040503050406030204" pitchFamily="18" charset="0"/>
                      </a:rPr>
                      <m:t>=2.5%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467514E6-D0CE-CF2E-AD7C-D6249696C955}"/>
                </a:ext>
              </a:extLst>
            </xdr:cNvPr>
            <xdr:cNvSpPr txBox="1"/>
          </xdr:nvSpPr>
          <xdr:spPr>
            <a:xfrm>
              <a:off x="13543666543" y="9935797"/>
              <a:ext cx="1503689" cy="14388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𝑟_𝐶</a:t>
              </a:r>
              <a:r>
                <a:rPr lang="he-IL" sz="800" b="0" i="0">
                  <a:latin typeface="Cambria Math" panose="02040503050406030204" pitchFamily="18" charset="0"/>
                </a:rPr>
                <a:t> (רבעון)=2.5%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4</xdr:col>
      <xdr:colOff>469279</xdr:colOff>
      <xdr:row>46</xdr:row>
      <xdr:rowOff>28486</xdr:rowOff>
    </xdr:from>
    <xdr:ext cx="1503689" cy="12888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BDACEAE-1EE2-3364-799A-65DACC67605D}"/>
                </a:ext>
              </a:extLst>
            </xdr:cNvPr>
            <xdr:cNvSpPr txBox="1"/>
          </xdr:nvSpPr>
          <xdr:spPr>
            <a:xfrm>
              <a:off x="13543906102" y="9492775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100∗</m:t>
                    </m:r>
                    <m:sSup>
                      <m:sSup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8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800" b="0" i="1">
                                <a:latin typeface="Cambria Math" panose="02040503050406030204" pitchFamily="18" charset="0"/>
                              </a:rPr>
                              <m:t>1+2.5%</m:t>
                            </m:r>
                          </m:e>
                        </m:d>
                      </m:e>
                      <m:sup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BDACEAE-1EE2-3364-799A-65DACC67605D}"/>
                </a:ext>
              </a:extLst>
            </xdr:cNvPr>
            <xdr:cNvSpPr txBox="1"/>
          </xdr:nvSpPr>
          <xdr:spPr>
            <a:xfrm>
              <a:off x="13543906102" y="9492775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100∗(1+2.5%)^2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4</xdr:col>
      <xdr:colOff>239561</xdr:colOff>
      <xdr:row>46</xdr:row>
      <xdr:rowOff>144393</xdr:rowOff>
    </xdr:from>
    <xdr:to>
      <xdr:col>5</xdr:col>
      <xdr:colOff>275660</xdr:colOff>
      <xdr:row>47</xdr:row>
      <xdr:rowOff>193618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E9569A4B-0EB4-2467-EDDE-ED56F8A53370}"/>
            </a:ext>
          </a:extLst>
        </xdr:cNvPr>
        <xdr:cNvSpPr/>
      </xdr:nvSpPr>
      <xdr:spPr>
        <a:xfrm rot="16200000">
          <a:off x="13545081627" y="9303488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311760</xdr:colOff>
      <xdr:row>46</xdr:row>
      <xdr:rowOff>28485</xdr:rowOff>
    </xdr:from>
    <xdr:ext cx="1503689" cy="12888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CDCABE5-66B4-6277-0738-5C6E3A10A2A7}"/>
                </a:ext>
              </a:extLst>
            </xdr:cNvPr>
            <xdr:cNvSpPr txBox="1"/>
          </xdr:nvSpPr>
          <xdr:spPr>
            <a:xfrm>
              <a:off x="13544890598" y="9492774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100∗</m:t>
                    </m:r>
                    <m:sSup>
                      <m:sSupPr>
                        <m:ctrlPr>
                          <a:rPr lang="he-IL" sz="8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8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800" b="0" i="1">
                                <a:latin typeface="Cambria Math" panose="02040503050406030204" pitchFamily="18" charset="0"/>
                              </a:rPr>
                              <m:t>1+2.5%</m:t>
                            </m:r>
                          </m:e>
                        </m:d>
                      </m:e>
                      <m:sup>
                        <m:r>
                          <a:rPr lang="he-IL" sz="8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CDCABE5-66B4-6277-0738-5C6E3A10A2A7}"/>
                </a:ext>
              </a:extLst>
            </xdr:cNvPr>
            <xdr:cNvSpPr txBox="1"/>
          </xdr:nvSpPr>
          <xdr:spPr>
            <a:xfrm>
              <a:off x="13544890598" y="9492774"/>
              <a:ext cx="1503689" cy="12888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100∗(1+2.5%)^3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3</xdr:col>
      <xdr:colOff>728528</xdr:colOff>
      <xdr:row>48</xdr:row>
      <xdr:rowOff>61301</xdr:rowOff>
    </xdr:from>
    <xdr:ext cx="150368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F91C17F-E483-CFA6-F43F-21E68BC109D3}"/>
                </a:ext>
              </a:extLst>
            </xdr:cNvPr>
            <xdr:cNvSpPr txBox="1"/>
          </xdr:nvSpPr>
          <xdr:spPr>
            <a:xfrm>
              <a:off x="13544473830" y="993251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2.5%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F91C17F-E483-CFA6-F43F-21E68BC109D3}"/>
                </a:ext>
              </a:extLst>
            </xdr:cNvPr>
            <xdr:cNvSpPr txBox="1"/>
          </xdr:nvSpPr>
          <xdr:spPr>
            <a:xfrm>
              <a:off x="13544473830" y="9932515"/>
              <a:ext cx="150368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2.5%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3</xdr:col>
      <xdr:colOff>127985</xdr:colOff>
      <xdr:row>46</xdr:row>
      <xdr:rowOff>150957</xdr:rowOff>
    </xdr:from>
    <xdr:to>
      <xdr:col>4</xdr:col>
      <xdr:colOff>164084</xdr:colOff>
      <xdr:row>47</xdr:row>
      <xdr:rowOff>200182</xdr:rowOff>
    </xdr:to>
    <xdr:sp macro="" textlink="">
      <xdr:nvSpPr>
        <xdr:cNvPr id="32" name="Left Brace 31">
          <a:extLst>
            <a:ext uri="{FF2B5EF4-FFF2-40B4-BE49-F238E27FC236}">
              <a16:creationId xmlns:a16="http://schemas.microsoft.com/office/drawing/2014/main" id="{3FFCBC2D-88BD-5836-5D7F-8EB40514FC9B}"/>
            </a:ext>
          </a:extLst>
        </xdr:cNvPr>
        <xdr:cNvSpPr/>
      </xdr:nvSpPr>
      <xdr:spPr>
        <a:xfrm rot="16200000">
          <a:off x="13546020180" y="9310052"/>
          <a:ext cx="252688" cy="86307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9848</xdr:colOff>
      <xdr:row>46</xdr:row>
      <xdr:rowOff>8795</xdr:rowOff>
    </xdr:from>
    <xdr:ext cx="1503689" cy="1645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DF2A7B06-4DBF-E90E-353F-00406C6A0008}"/>
                </a:ext>
              </a:extLst>
            </xdr:cNvPr>
            <xdr:cNvSpPr txBox="1"/>
          </xdr:nvSpPr>
          <xdr:spPr>
            <a:xfrm>
              <a:off x="13546019487" y="9473084"/>
              <a:ext cx="1503689" cy="1645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0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  <m:r>
                      <a:rPr lang="he-IL" sz="10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he-IL" sz="10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𝟏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+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𝟐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.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𝟓</m:t>
                            </m:r>
                            <m:r>
                              <a:rPr lang="he-IL" sz="1000" b="1" i="1">
                                <a:solidFill>
                                  <a:srgbClr val="0070C0"/>
                                </a:solidFill>
                                <a:latin typeface="Cambria Math" panose="02040503050406030204" pitchFamily="18" charset="0"/>
                              </a:rPr>
                              <m:t>%</m:t>
                            </m:r>
                          </m:e>
                        </m:d>
                      </m:e>
                      <m:sup>
                        <m:r>
                          <a:rPr lang="he-IL" sz="10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𝟒</m:t>
                        </m:r>
                      </m:sup>
                    </m:sSup>
                  </m:oMath>
                </m:oMathPara>
              </a14:m>
              <a:endParaRPr lang="en-US" sz="800" b="1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DF2A7B06-4DBF-E90E-353F-00406C6A0008}"/>
                </a:ext>
              </a:extLst>
            </xdr:cNvPr>
            <xdr:cNvSpPr txBox="1"/>
          </xdr:nvSpPr>
          <xdr:spPr>
            <a:xfrm>
              <a:off x="13546019487" y="9473084"/>
              <a:ext cx="1503689" cy="1645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0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𝟏𝟎𝟎∗(𝟏+𝟐.𝟓%)^𝟒</a:t>
              </a:r>
              <a:endParaRPr lang="en-US" sz="800" b="1"/>
            </a:p>
          </xdr:txBody>
        </xdr:sp>
      </mc:Fallback>
    </mc:AlternateContent>
    <xdr:clientData/>
  </xdr:oneCellAnchor>
  <xdr:oneCellAnchor>
    <xdr:from>
      <xdr:col>5</xdr:col>
      <xdr:colOff>157519</xdr:colOff>
      <xdr:row>69</xdr:row>
      <xdr:rowOff>44893</xdr:rowOff>
    </xdr:from>
    <xdr:ext cx="1858108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2B461CDB-7A15-E9D7-BCD2-30801868A7E1}"/>
                </a:ext>
              </a:extLst>
            </xdr:cNvPr>
            <xdr:cNvSpPr txBox="1"/>
          </xdr:nvSpPr>
          <xdr:spPr>
            <a:xfrm>
              <a:off x="13543036466" y="14188821"/>
              <a:ext cx="185810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110.3812891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2B461CDB-7A15-E9D7-BCD2-30801868A7E1}"/>
                </a:ext>
              </a:extLst>
            </xdr:cNvPr>
            <xdr:cNvSpPr txBox="1"/>
          </xdr:nvSpPr>
          <xdr:spPr>
            <a:xfrm>
              <a:off x="13543036466" y="14188821"/>
              <a:ext cx="1858108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110.3812891/100−1=10.3813%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219872</xdr:colOff>
      <xdr:row>75</xdr:row>
      <xdr:rowOff>64582</xdr:rowOff>
    </xdr:from>
    <xdr:ext cx="3197024" cy="4643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139F9428-DE7F-C172-EA16-049FD9EA66B7}"/>
                </a:ext>
              </a:extLst>
            </xdr:cNvPr>
            <xdr:cNvSpPr txBox="1"/>
          </xdr:nvSpPr>
          <xdr:spPr>
            <a:xfrm>
              <a:off x="13543289151" y="15429285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100∗</m:t>
                        </m:r>
                        <m:sSup>
                          <m:sSup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1+</m:t>
                                </m:r>
                                <m:f>
                                  <m:f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fPr>
                                  <m:num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10%</m:t>
                                    </m:r>
                                  </m:num>
                                  <m:den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4</m:t>
                                    </m:r>
                                  </m:den>
                                </m:f>
                              </m:e>
                            </m:d>
                          </m:e>
                          <m:sup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sup>
                        </m:s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139F9428-DE7F-C172-EA16-049FD9EA66B7}"/>
                </a:ext>
              </a:extLst>
            </xdr:cNvPr>
            <xdr:cNvSpPr txBox="1"/>
          </xdr:nvSpPr>
          <xdr:spPr>
            <a:xfrm>
              <a:off x="13543289151" y="15429285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𝑟_𝑒=(100∗(1+(10%)/4)^4−100)/100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242843</xdr:colOff>
      <xdr:row>74</xdr:row>
      <xdr:rowOff>91887</xdr:rowOff>
    </xdr:from>
    <xdr:to>
      <xdr:col>6</xdr:col>
      <xdr:colOff>748218</xdr:colOff>
      <xdr:row>76</xdr:row>
      <xdr:rowOff>131267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F9480DA-A59C-24DF-00AC-BB28DE5CBFF5}"/>
            </a:ext>
          </a:extLst>
        </xdr:cNvPr>
        <xdr:cNvCxnSpPr/>
      </xdr:nvCxnSpPr>
      <xdr:spPr>
        <a:xfrm flipH="1" flipV="1">
          <a:off x="13543476899" y="15253127"/>
          <a:ext cx="505375" cy="44630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643204</xdr:colOff>
      <xdr:row>73</xdr:row>
      <xdr:rowOff>193617</xdr:rowOff>
    </xdr:from>
    <xdr:to>
      <xdr:col>5</xdr:col>
      <xdr:colOff>744935</xdr:colOff>
      <xdr:row>75</xdr:row>
      <xdr:rowOff>134548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16C9410A-EBF6-E2D3-5D89-81BB60EB1756}"/>
            </a:ext>
          </a:extLst>
        </xdr:cNvPr>
        <xdr:cNvCxnSpPr/>
      </xdr:nvCxnSpPr>
      <xdr:spPr>
        <a:xfrm flipH="1" flipV="1">
          <a:off x="13544307158" y="15151395"/>
          <a:ext cx="101731" cy="3478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511938</xdr:colOff>
      <xdr:row>74</xdr:row>
      <xdr:rowOff>3282</xdr:rowOff>
    </xdr:from>
    <xdr:to>
      <xdr:col>5</xdr:col>
      <xdr:colOff>49225</xdr:colOff>
      <xdr:row>75</xdr:row>
      <xdr:rowOff>114858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7A4F511D-5FD8-CD67-7F67-88B8D8C87F11}"/>
            </a:ext>
          </a:extLst>
        </xdr:cNvPr>
        <xdr:cNvCxnSpPr/>
      </xdr:nvCxnSpPr>
      <xdr:spPr>
        <a:xfrm flipV="1">
          <a:off x="13545002868" y="15164522"/>
          <a:ext cx="364264" cy="3150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817133</xdr:colOff>
      <xdr:row>76</xdr:row>
      <xdr:rowOff>62352</xdr:rowOff>
    </xdr:from>
    <xdr:to>
      <xdr:col>4</xdr:col>
      <xdr:colOff>36098</xdr:colOff>
      <xdr:row>76</xdr:row>
      <xdr:rowOff>62353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BA14CD07-E36B-C4E0-0F3C-808E8BCF4364}"/>
            </a:ext>
          </a:extLst>
        </xdr:cNvPr>
        <xdr:cNvCxnSpPr/>
      </xdr:nvCxnSpPr>
      <xdr:spPr>
        <a:xfrm flipV="1">
          <a:off x="13545842972" y="15630517"/>
          <a:ext cx="87291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784315</xdr:colOff>
      <xdr:row>77</xdr:row>
      <xdr:rowOff>177209</xdr:rowOff>
    </xdr:from>
    <xdr:to>
      <xdr:col>4</xdr:col>
      <xdr:colOff>784315</xdr:colOff>
      <xdr:row>78</xdr:row>
      <xdr:rowOff>137830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D86D67BE-A3F8-07B9-F78E-2050C93DECA5}"/>
            </a:ext>
          </a:extLst>
        </xdr:cNvPr>
        <xdr:cNvCxnSpPr/>
      </xdr:nvCxnSpPr>
      <xdr:spPr>
        <a:xfrm>
          <a:off x="13545094755" y="15948837"/>
          <a:ext cx="0" cy="1640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246125</xdr:colOff>
      <xdr:row>81</xdr:row>
      <xdr:rowOff>25202</xdr:rowOff>
    </xdr:from>
    <xdr:ext cx="3197024" cy="4643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D581B08-0EED-5425-E0FF-0B94DD489FA3}"/>
                </a:ext>
              </a:extLst>
            </xdr:cNvPr>
            <xdr:cNvSpPr txBox="1"/>
          </xdr:nvSpPr>
          <xdr:spPr>
            <a:xfrm>
              <a:off x="13543262898" y="16610680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100∗</m:t>
                        </m:r>
                        <m:sSup>
                          <m:sSup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d>
                              <m:d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d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1+</m:t>
                                </m:r>
                                <m:f>
                                  <m:f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fPr>
                                  <m:num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10%</m:t>
                                    </m:r>
                                  </m:num>
                                  <m:den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4</m:t>
                                    </m:r>
                                  </m:den>
                                </m:f>
                              </m:e>
                            </m:d>
                          </m:e>
                          <m:sup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sup>
                        </m:s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−100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D581B08-0EED-5425-E0FF-0B94DD489FA3}"/>
                </a:ext>
              </a:extLst>
            </xdr:cNvPr>
            <xdr:cNvSpPr txBox="1"/>
          </xdr:nvSpPr>
          <xdr:spPr>
            <a:xfrm>
              <a:off x="13543262898" y="16610680"/>
              <a:ext cx="3197024" cy="4643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𝑟_𝑒=(100∗(1+(10%)/4)^4−100)/100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567726</xdr:colOff>
      <xdr:row>81</xdr:row>
      <xdr:rowOff>98450</xdr:rowOff>
    </xdr:from>
    <xdr:to>
      <xdr:col>5</xdr:col>
      <xdr:colOff>813850</xdr:colOff>
      <xdr:row>82</xdr:row>
      <xdr:rowOff>105012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D33C69DA-83F9-9ED6-039D-9130FC6F8000}"/>
            </a:ext>
          </a:extLst>
        </xdr:cNvPr>
        <xdr:cNvCxnSpPr/>
      </xdr:nvCxnSpPr>
      <xdr:spPr>
        <a:xfrm>
          <a:off x="13544238243" y="16683928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764626</xdr:colOff>
      <xdr:row>82</xdr:row>
      <xdr:rowOff>137830</xdr:rowOff>
    </xdr:from>
    <xdr:to>
      <xdr:col>5</xdr:col>
      <xdr:colOff>183773</xdr:colOff>
      <xdr:row>83</xdr:row>
      <xdr:rowOff>144393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2E74DB2B-B857-A889-D4DB-5E51CC1DDD96}"/>
            </a:ext>
          </a:extLst>
        </xdr:cNvPr>
        <xdr:cNvCxnSpPr/>
      </xdr:nvCxnSpPr>
      <xdr:spPr>
        <a:xfrm>
          <a:off x="13544868320" y="16926771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131267</xdr:colOff>
      <xdr:row>81</xdr:row>
      <xdr:rowOff>82042</xdr:rowOff>
    </xdr:from>
    <xdr:to>
      <xdr:col>4</xdr:col>
      <xdr:colOff>377391</xdr:colOff>
      <xdr:row>82</xdr:row>
      <xdr:rowOff>88604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99033589-8408-F6C1-E6EE-84B93F25434E}"/>
            </a:ext>
          </a:extLst>
        </xdr:cNvPr>
        <xdr:cNvCxnSpPr/>
      </xdr:nvCxnSpPr>
      <xdr:spPr>
        <a:xfrm>
          <a:off x="13545501679" y="16667520"/>
          <a:ext cx="246124" cy="21002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42664</xdr:colOff>
      <xdr:row>85</xdr:row>
      <xdr:rowOff>15357</xdr:rowOff>
    </xdr:from>
    <xdr:ext cx="3197024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4BD887C0-2B28-289F-1DF8-1B5D4D6F1F2F}"/>
                </a:ext>
              </a:extLst>
            </xdr:cNvPr>
            <xdr:cNvSpPr txBox="1"/>
          </xdr:nvSpPr>
          <xdr:spPr>
            <a:xfrm>
              <a:off x="13543466359" y="17414685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10%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4BD887C0-2B28-289F-1DF8-1B5D4D6F1F2F}"/>
                </a:ext>
              </a:extLst>
            </xdr:cNvPr>
            <xdr:cNvSpPr txBox="1"/>
          </xdr:nvSpPr>
          <xdr:spPr>
            <a:xfrm>
              <a:off x="13543466359" y="17414685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(1+(10%)/4)^4−1=10.381%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292069</xdr:colOff>
      <xdr:row>89</xdr:row>
      <xdr:rowOff>28484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ABB29AA-12DA-10AA-7DEC-00D22A6A70F2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ABB29AA-12DA-10AA-7DEC-00D22A6A70F2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127986</xdr:colOff>
      <xdr:row>92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5284CC3-72CE-F143-3BA2-61A4D90DB768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F5284CC3-72CE-F143-3BA2-61A4D90DB768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93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9FB93B95-1695-C923-8069-D76E312AACD8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9FB93B95-1695-C923-8069-D76E312AACD8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94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9B608E11-EF63-2EEE-3FB3-BFA0F9722416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9B608E11-EF63-2EEE-3FB3-BFA0F9722416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108296</xdr:colOff>
      <xdr:row>94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26D4693-DF3B-82DB-9A76-77C7E484BEB3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26D4693-DF3B-82DB-9A76-77C7E484BEB3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754783</xdr:colOff>
      <xdr:row>97</xdr:row>
      <xdr:rowOff>143341</xdr:rowOff>
    </xdr:from>
    <xdr:ext cx="3197024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DC3133C7-D3CA-D5D4-81D9-7CC0BAEE7AD4}"/>
                </a:ext>
              </a:extLst>
            </xdr:cNvPr>
            <xdr:cNvSpPr txBox="1"/>
          </xdr:nvSpPr>
          <xdr:spPr>
            <a:xfrm>
              <a:off x="13543581217" y="19984220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10%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−1=10.381%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DC3133C7-D3CA-D5D4-81D9-7CC0BAEE7AD4}"/>
                </a:ext>
              </a:extLst>
            </xdr:cNvPr>
            <xdr:cNvSpPr txBox="1"/>
          </xdr:nvSpPr>
          <xdr:spPr>
            <a:xfrm>
              <a:off x="13543581217" y="19984220"/>
              <a:ext cx="3197024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(1+(10%)/4)^4−1=10.381%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114858</xdr:colOff>
      <xdr:row>99</xdr:row>
      <xdr:rowOff>134547</xdr:rowOff>
    </xdr:from>
    <xdr:to>
      <xdr:col>5</xdr:col>
      <xdr:colOff>118140</xdr:colOff>
      <xdr:row>101</xdr:row>
      <xdr:rowOff>65633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63C5CE09-8B3A-9F6B-D44F-ED5E590DB168}"/>
            </a:ext>
          </a:extLst>
        </xdr:cNvPr>
        <xdr:cNvCxnSpPr/>
      </xdr:nvCxnSpPr>
      <xdr:spPr>
        <a:xfrm flipH="1">
          <a:off x="13544933953" y="20382351"/>
          <a:ext cx="3282" cy="3380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682587</xdr:colOff>
      <xdr:row>101</xdr:row>
      <xdr:rowOff>64581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2E407659-1A84-7CA1-187D-BD1B09AFE951}"/>
                </a:ext>
              </a:extLst>
            </xdr:cNvPr>
            <xdr:cNvSpPr txBox="1"/>
          </xdr:nvSpPr>
          <xdr:spPr>
            <a:xfrm>
              <a:off x="13544622195" y="2071931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2E407659-1A84-7CA1-187D-BD1B09AFE951}"/>
                </a:ext>
              </a:extLst>
            </xdr:cNvPr>
            <xdr:cNvSpPr txBox="1"/>
          </xdr:nvSpPr>
          <xdr:spPr>
            <a:xfrm>
              <a:off x="13544622195" y="2071931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=4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702274</xdr:colOff>
      <xdr:row>98</xdr:row>
      <xdr:rowOff>75478</xdr:rowOff>
    </xdr:from>
    <xdr:to>
      <xdr:col>4</xdr:col>
      <xdr:colOff>708838</xdr:colOff>
      <xdr:row>106</xdr:row>
      <xdr:rowOff>9845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F7697264-1D63-BAA5-8A20-292969B35B10}"/>
            </a:ext>
          </a:extLst>
        </xdr:cNvPr>
        <xdr:cNvCxnSpPr/>
      </xdr:nvCxnSpPr>
      <xdr:spPr>
        <a:xfrm>
          <a:off x="13545170232" y="20119819"/>
          <a:ext cx="6564" cy="15620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423335</xdr:colOff>
      <xdr:row>106</xdr:row>
      <xdr:rowOff>8794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ED3D05D3-3916-1DD7-4D3F-A7E21B38E034}"/>
                </a:ext>
              </a:extLst>
            </xdr:cNvPr>
            <xdr:cNvSpPr txBox="1"/>
          </xdr:nvSpPr>
          <xdr:spPr>
            <a:xfrm>
              <a:off x="13544881447" y="2168083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ED3D05D3-3916-1DD7-4D3F-A7E21B38E034}"/>
                </a:ext>
              </a:extLst>
            </xdr:cNvPr>
            <xdr:cNvSpPr txBox="1"/>
          </xdr:nvSpPr>
          <xdr:spPr>
            <a:xfrm>
              <a:off x="13544881447" y="2168083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=4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292069</xdr:colOff>
      <xdr:row>119</xdr:row>
      <xdr:rowOff>28484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FA3EA084-88E4-004D-970E-51B1015A750E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FA3EA084-88E4-004D-970E-51B1015A750E}"/>
                </a:ext>
              </a:extLst>
            </xdr:cNvPr>
            <xdr:cNvSpPr txBox="1"/>
          </xdr:nvSpPr>
          <xdr:spPr>
            <a:xfrm>
              <a:off x="13543216954" y="18241662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127986</xdr:colOff>
      <xdr:row>122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24A49F05-D68A-574E-BADC-C0FF86C532FF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24A49F05-D68A-574E-BADC-C0FF86C532FF}"/>
                </a:ext>
              </a:extLst>
            </xdr:cNvPr>
            <xdr:cNvSpPr txBox="1"/>
          </xdr:nvSpPr>
          <xdr:spPr>
            <a:xfrm>
              <a:off x="13547657726" y="1884876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123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27FFD8D-7A74-F94B-AAEE-92E30B60442F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B27FFD8D-7A74-F94B-AAEE-92E30B60442F}"/>
                </a:ext>
              </a:extLst>
            </xdr:cNvPr>
            <xdr:cNvSpPr txBox="1"/>
          </xdr:nvSpPr>
          <xdr:spPr>
            <a:xfrm>
              <a:off x="13547664289" y="19058793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121423</xdr:colOff>
      <xdr:row>124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040D0FCE-37D5-C94C-9484-EA57AE51F354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040D0FCE-37D5-C94C-9484-EA57AE51F354}"/>
                </a:ext>
              </a:extLst>
            </xdr:cNvPr>
            <xdr:cNvSpPr txBox="1"/>
          </xdr:nvSpPr>
          <xdr:spPr>
            <a:xfrm>
              <a:off x="13547664289" y="19262255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108296</xdr:colOff>
      <xdr:row>124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E8FFDF22-6120-8A46-8F65-6D73F6E1E249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E8FFDF22-6120-8A46-8F65-6D73F6E1E249}"/>
                </a:ext>
              </a:extLst>
            </xdr:cNvPr>
            <xdr:cNvSpPr txBox="1"/>
          </xdr:nvSpPr>
          <xdr:spPr>
            <a:xfrm>
              <a:off x="13547677416" y="1942633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3629</xdr:colOff>
      <xdr:row>136</xdr:row>
      <xdr:rowOff>105228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0CDC036-1888-6942-A60B-242497616FA7}"/>
                </a:ext>
              </a:extLst>
            </xdr:cNvPr>
            <xdr:cNvSpPr txBox="1"/>
          </xdr:nvSpPr>
          <xdr:spPr>
            <a:xfrm>
              <a:off x="13546552718" y="27914599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0CDC036-1888-6942-A60B-242497616FA7}"/>
                </a:ext>
              </a:extLst>
            </xdr:cNvPr>
            <xdr:cNvSpPr txBox="1"/>
          </xdr:nvSpPr>
          <xdr:spPr>
            <a:xfrm>
              <a:off x="13546552718" y="27914599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127986</xdr:colOff>
      <xdr:row>146</xdr:row>
      <xdr:rowOff>25201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CF2941E-5D53-9B4C-BF5C-A71212505A95}"/>
                </a:ext>
              </a:extLst>
            </xdr:cNvPr>
            <xdr:cNvSpPr txBox="1"/>
          </xdr:nvSpPr>
          <xdr:spPr>
            <a:xfrm>
              <a:off x="13553187669" y="24960744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CF2941E-5D53-9B4C-BF5C-A71212505A95}"/>
                </a:ext>
              </a:extLst>
            </xdr:cNvPr>
            <xdr:cNvSpPr txBox="1"/>
          </xdr:nvSpPr>
          <xdr:spPr>
            <a:xfrm>
              <a:off x="13553187669" y="24960744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121423</xdr:colOff>
      <xdr:row>147</xdr:row>
      <xdr:rowOff>31765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293BE5E8-A088-294A-9276-961D5FF95E1C}"/>
                </a:ext>
              </a:extLst>
            </xdr:cNvPr>
            <xdr:cNvSpPr txBox="1"/>
          </xdr:nvSpPr>
          <xdr:spPr>
            <a:xfrm>
              <a:off x="13553194232" y="2517050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293BE5E8-A088-294A-9276-961D5FF95E1C}"/>
                </a:ext>
              </a:extLst>
            </xdr:cNvPr>
            <xdr:cNvSpPr txBox="1"/>
          </xdr:nvSpPr>
          <xdr:spPr>
            <a:xfrm>
              <a:off x="13553194232" y="25170508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121423</xdr:colOff>
      <xdr:row>148</xdr:row>
      <xdr:rowOff>31764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7B52823E-56A0-AE4F-90C1-B5C0E9439016}"/>
                </a:ext>
              </a:extLst>
            </xdr:cNvPr>
            <xdr:cNvSpPr txBox="1"/>
          </xdr:nvSpPr>
          <xdr:spPr>
            <a:xfrm>
              <a:off x="13553194232" y="2537370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7B52823E-56A0-AE4F-90C1-B5C0E9439016}"/>
                </a:ext>
              </a:extLst>
            </xdr:cNvPr>
            <xdr:cNvSpPr txBox="1"/>
          </xdr:nvSpPr>
          <xdr:spPr>
            <a:xfrm>
              <a:off x="13553194232" y="25373707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108296</xdr:colOff>
      <xdr:row>148</xdr:row>
      <xdr:rowOff>195847</xdr:rowOff>
    </xdr:from>
    <xdr:ext cx="57428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2B105195-1278-8047-B767-118696C236CB}"/>
                </a:ext>
              </a:extLst>
            </xdr:cNvPr>
            <xdr:cNvSpPr txBox="1"/>
          </xdr:nvSpPr>
          <xdr:spPr>
            <a:xfrm>
              <a:off x="13553207359" y="2553779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2B105195-1278-8047-B767-118696C236CB}"/>
                </a:ext>
              </a:extLst>
            </xdr:cNvPr>
            <xdr:cNvSpPr txBox="1"/>
          </xdr:nvSpPr>
          <xdr:spPr>
            <a:xfrm>
              <a:off x="13553207359" y="25537790"/>
              <a:ext cx="57428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707572</xdr:colOff>
      <xdr:row>157</xdr:row>
      <xdr:rowOff>152399</xdr:rowOff>
    </xdr:from>
    <xdr:ext cx="3197024" cy="35708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85A7E7C0-C10D-C54C-8F6E-0D8120904BE5}"/>
                </a:ext>
              </a:extLst>
            </xdr:cNvPr>
            <xdr:cNvSpPr txBox="1"/>
          </xdr:nvSpPr>
          <xdr:spPr>
            <a:xfrm>
              <a:off x="13545848775" y="32287028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𝑟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𝑛</m:t>
                                    </m:r>
                                  </m:e>
                                  <m:sub>
                                    <m:r>
                                      <a:rPr lang="en-US" sz="1100" b="0" i="1">
                                        <a:latin typeface="Cambria Math" panose="02040503050406030204" pitchFamily="18" charset="0"/>
                                      </a:rPr>
                                      <m:t>𝑐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85A7E7C0-C10D-C54C-8F6E-0D8120904BE5}"/>
                </a:ext>
              </a:extLst>
            </xdr:cNvPr>
            <xdr:cNvSpPr txBox="1"/>
          </xdr:nvSpPr>
          <xdr:spPr>
            <a:xfrm>
              <a:off x="13545848775" y="32287028"/>
              <a:ext cx="3197024" cy="3570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𝑟_𝑐</a:t>
              </a:r>
              <a:r>
                <a:rPr lang="he-IL" sz="1100" b="0" i="0">
                  <a:latin typeface="Cambria Math" panose="02040503050406030204" pitchFamily="18" charset="0"/>
                </a:rPr>
                <a:t>/</a:t>
              </a:r>
              <a:r>
                <a:rPr lang="en-US" sz="1100" b="0" i="0">
                  <a:latin typeface="Cambria Math" panose="02040503050406030204" pitchFamily="18" charset="0"/>
                </a:rPr>
                <a:t>𝑛_𝑐</a:t>
              </a:r>
              <a:r>
                <a:rPr lang="he-IL" sz="1100" b="0" i="0">
                  <a:latin typeface="Cambria Math" panose="02040503050406030204" pitchFamily="18" charset="0"/>
                </a:rPr>
                <a:t> )^(</a:t>
              </a:r>
              <a:r>
                <a:rPr lang="en-US" sz="1100" b="0" i="0">
                  <a:latin typeface="Cambria Math" panose="02040503050406030204" pitchFamily="18" charset="0"/>
                </a:rPr>
                <a:t>𝑛_𝑟</a:t>
              </a:r>
              <a:r>
                <a:rPr lang="he-IL" sz="1100" b="0" i="0">
                  <a:latin typeface="Cambria Math" panose="02040503050406030204" pitchFamily="18" charset="0"/>
                </a:rPr>
                <a:t> )−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8</xdr:col>
      <xdr:colOff>108444</xdr:colOff>
      <xdr:row>161</xdr:row>
      <xdr:rowOff>58057</xdr:rowOff>
    </xdr:from>
    <xdr:to>
      <xdr:col>10</xdr:col>
      <xdr:colOff>486228</xdr:colOff>
      <xdr:row>171</xdr:row>
      <xdr:rowOff>117929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4D007E5-3DA1-FF0F-8D88-9FC67485A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5957886" y="33034514"/>
          <a:ext cx="2032413" cy="209187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141535</xdr:colOff>
      <xdr:row>37</xdr:row>
      <xdr:rowOff>119461</xdr:rowOff>
    </xdr:from>
    <xdr:to>
      <xdr:col>3</xdr:col>
      <xdr:colOff>631215</xdr:colOff>
      <xdr:row>43</xdr:row>
      <xdr:rowOff>93882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BE5F96-F5EF-7A89-6EE5-08953C4E6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390000" y="7689732"/>
          <a:ext cx="2995212" cy="1190867"/>
        </a:xfrm>
        <a:prstGeom prst="rect">
          <a:avLst/>
        </a:prstGeom>
      </xdr:spPr>
    </xdr:pic>
    <xdr:clientData/>
  </xdr:twoCellAnchor>
  <xdr:twoCellAnchor editAs="oneCell">
    <xdr:from>
      <xdr:col>4</xdr:col>
      <xdr:colOff>63500</xdr:colOff>
      <xdr:row>37</xdr:row>
      <xdr:rowOff>32360</xdr:rowOff>
    </xdr:from>
    <xdr:to>
      <xdr:col>7</xdr:col>
      <xdr:colOff>801224</xdr:colOff>
      <xdr:row>43</xdr:row>
      <xdr:rowOff>189670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1A471A6-8B6E-EA1F-7371-4F0716BE7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263381" y="7592829"/>
          <a:ext cx="3363119" cy="1371747"/>
        </a:xfrm>
        <a:prstGeom prst="rect">
          <a:avLst/>
        </a:prstGeom>
      </xdr:spPr>
    </xdr:pic>
    <xdr:clientData/>
  </xdr:twoCellAnchor>
  <xdr:twoCellAnchor editAs="oneCell">
    <xdr:from>
      <xdr:col>8</xdr:col>
      <xdr:colOff>125382</xdr:colOff>
      <xdr:row>96</xdr:row>
      <xdr:rowOff>10526</xdr:rowOff>
    </xdr:from>
    <xdr:to>
      <xdr:col>11</xdr:col>
      <xdr:colOff>54278</xdr:colOff>
      <xdr:row>107</xdr:row>
      <xdr:rowOff>26372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7C6E58D-837F-E5F8-6E5F-F563913E4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9235022" y="19545876"/>
          <a:ext cx="2404182" cy="2264636"/>
        </a:xfrm>
        <a:prstGeom prst="rect">
          <a:avLst/>
        </a:prstGeom>
      </xdr:spPr>
    </xdr:pic>
    <xdr:clientData/>
  </xdr:twoCellAnchor>
  <xdr:oneCellAnchor>
    <xdr:from>
      <xdr:col>5</xdr:col>
      <xdr:colOff>291212</xdr:colOff>
      <xdr:row>120</xdr:row>
      <xdr:rowOff>16017</xdr:rowOff>
    </xdr:from>
    <xdr:ext cx="218802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E46B7FF-5E6E-60EB-A1EA-ECAAA2D56BFE}"/>
                </a:ext>
              </a:extLst>
            </xdr:cNvPr>
            <xdr:cNvSpPr txBox="1"/>
          </xdr:nvSpPr>
          <xdr:spPr>
            <a:xfrm>
              <a:off x="13511914332" y="24465539"/>
              <a:ext cx="21880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E46B7FF-5E6E-60EB-A1EA-ECAAA2D56BFE}"/>
                </a:ext>
              </a:extLst>
            </xdr:cNvPr>
            <xdr:cNvSpPr txBox="1"/>
          </xdr:nvSpPr>
          <xdr:spPr>
            <a:xfrm>
              <a:off x="13511914332" y="24465539"/>
              <a:ext cx="21880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711849</xdr:colOff>
      <xdr:row>122</xdr:row>
      <xdr:rowOff>24104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322388A-2B7F-080C-4473-1A250FB8EC9B}"/>
                </a:ext>
              </a:extLst>
            </xdr:cNvPr>
            <xdr:cNvSpPr txBox="1"/>
          </xdr:nvSpPr>
          <xdr:spPr>
            <a:xfrm>
              <a:off x="13516986147" y="24890219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3322388A-2B7F-080C-4473-1A250FB8EC9B}"/>
                </a:ext>
              </a:extLst>
            </xdr:cNvPr>
            <xdr:cNvSpPr txBox="1"/>
          </xdr:nvSpPr>
          <xdr:spPr>
            <a:xfrm>
              <a:off x="13516986147" y="24890219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642427</xdr:colOff>
      <xdr:row>143</xdr:row>
      <xdr:rowOff>11140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79931EA-3C90-204B-9016-07202AD6EADD}"/>
                </a:ext>
              </a:extLst>
            </xdr:cNvPr>
            <xdr:cNvSpPr txBox="1"/>
          </xdr:nvSpPr>
          <xdr:spPr>
            <a:xfrm>
              <a:off x="13505428425" y="29417953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79931EA-3C90-204B-9016-07202AD6EADD}"/>
                </a:ext>
              </a:extLst>
            </xdr:cNvPr>
            <xdr:cNvSpPr txBox="1"/>
          </xdr:nvSpPr>
          <xdr:spPr>
            <a:xfrm>
              <a:off x="13505428425" y="29417953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663966</xdr:colOff>
      <xdr:row>184</xdr:row>
      <xdr:rowOff>26736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F09B364-6C5D-2045-9CA1-3D2255C2340B}"/>
                </a:ext>
              </a:extLst>
            </xdr:cNvPr>
            <xdr:cNvSpPr txBox="1"/>
          </xdr:nvSpPr>
          <xdr:spPr>
            <a:xfrm>
              <a:off x="13505464073" y="37921754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F09B364-6C5D-2045-9CA1-3D2255C2340B}"/>
                </a:ext>
              </a:extLst>
            </xdr:cNvPr>
            <xdr:cNvSpPr txBox="1"/>
          </xdr:nvSpPr>
          <xdr:spPr>
            <a:xfrm>
              <a:off x="13505464073" y="37921754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663966</xdr:colOff>
      <xdr:row>184</xdr:row>
      <xdr:rowOff>26736</xdr:rowOff>
    </xdr:from>
    <xdr:ext cx="821049" cy="17407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4564E18-FD6B-3E46-9782-FF459F8EE7C7}"/>
                </a:ext>
              </a:extLst>
            </xdr:cNvPr>
            <xdr:cNvSpPr txBox="1"/>
          </xdr:nvSpPr>
          <xdr:spPr>
            <a:xfrm>
              <a:off x="13505464073" y="37930666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∑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𝐼𝑁𝑇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44564E18-FD6B-3E46-9782-FF459F8EE7C7}"/>
                </a:ext>
              </a:extLst>
            </xdr:cNvPr>
            <xdr:cNvSpPr txBox="1"/>
          </xdr:nvSpPr>
          <xdr:spPr>
            <a:xfrm>
              <a:off x="13505464073" y="37930666"/>
              <a:ext cx="821049" cy="17407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i="0">
                  <a:latin typeface="Cambria Math" panose="02040503050406030204" pitchFamily="18" charset="0"/>
                  <a:ea typeface="Cambria Math" panose="02040503050406030204" pitchFamily="18" charset="0"/>
                </a:rPr>
                <a:t>∑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𝐼𝑁𝑇</a:t>
              </a:r>
              <a:endParaRPr lang="en-US" sz="1100"/>
            </a:p>
          </xdr:txBody>
        </xdr:sp>
      </mc:Fallback>
    </mc:AlternateContent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BF723-6CDE-2448-8CB3-9DBC07BD6890}">
  <dimension ref="A1:L259"/>
  <sheetViews>
    <sheetView rightToLeft="1" zoomScale="252" zoomScaleNormal="280" workbookViewId="0">
      <selection activeCell="A2" sqref="A2"/>
    </sheetView>
  </sheetViews>
  <sheetFormatPr baseColWidth="10" defaultRowHeight="16" x14ac:dyDescent="0.2"/>
  <cols>
    <col min="1" max="5" width="10.83203125" style="1"/>
    <col min="6" max="6" width="11.83203125" style="1" customWidth="1"/>
    <col min="7" max="16384" width="10.83203125" style="1"/>
  </cols>
  <sheetData>
    <row r="1" spans="1:8" x14ac:dyDescent="0.2">
      <c r="A1" s="229" t="s">
        <v>1622</v>
      </c>
      <c r="B1" s="229"/>
      <c r="C1" s="229"/>
      <c r="D1" s="229"/>
      <c r="E1" s="229"/>
      <c r="F1" s="229"/>
      <c r="G1" s="229"/>
      <c r="H1" s="229"/>
    </row>
    <row r="2" spans="1:8" x14ac:dyDescent="0.2">
      <c r="A2" s="2" t="s">
        <v>0</v>
      </c>
    </row>
    <row r="3" spans="1:8" x14ac:dyDescent="0.2">
      <c r="A3" s="2" t="s">
        <v>1</v>
      </c>
    </row>
    <row r="4" spans="1:8" x14ac:dyDescent="0.2">
      <c r="A4" s="2" t="s">
        <v>2</v>
      </c>
    </row>
    <row r="5" spans="1:8" ht="17" thickBot="1" x14ac:dyDescent="0.25"/>
    <row r="6" spans="1:8" ht="17" thickBot="1" x14ac:dyDescent="0.25">
      <c r="A6" s="3" t="s">
        <v>3</v>
      </c>
      <c r="B6" s="4"/>
      <c r="C6" s="4"/>
      <c r="D6" s="4"/>
      <c r="E6" s="4"/>
      <c r="F6" s="4"/>
      <c r="G6" s="4"/>
      <c r="H6" s="5"/>
    </row>
    <row r="7" spans="1:8" x14ac:dyDescent="0.2">
      <c r="A7" s="1" t="s">
        <v>4</v>
      </c>
    </row>
    <row r="8" spans="1:8" x14ac:dyDescent="0.2">
      <c r="A8" s="1" t="s">
        <v>5</v>
      </c>
    </row>
    <row r="9" spans="1:8" x14ac:dyDescent="0.2">
      <c r="A9" s="1" t="s">
        <v>6</v>
      </c>
    </row>
    <row r="10" spans="1:8" x14ac:dyDescent="0.2">
      <c r="A10" s="1" t="s">
        <v>7</v>
      </c>
    </row>
    <row r="11" spans="1:8" ht="17" thickBot="1" x14ac:dyDescent="0.25"/>
    <row r="12" spans="1:8" ht="17" thickBot="1" x14ac:dyDescent="0.25">
      <c r="A12" s="3" t="s">
        <v>8</v>
      </c>
      <c r="B12" s="6"/>
      <c r="C12" s="6"/>
      <c r="D12" s="6"/>
      <c r="E12" s="6"/>
      <c r="F12" s="6"/>
      <c r="G12" s="6"/>
      <c r="H12" s="7"/>
    </row>
    <row r="13" spans="1:8" x14ac:dyDescent="0.2">
      <c r="A13" s="1" t="s">
        <v>9</v>
      </c>
    </row>
    <row r="14" spans="1:8" x14ac:dyDescent="0.2">
      <c r="A14" s="1" t="s">
        <v>10</v>
      </c>
    </row>
    <row r="15" spans="1:8" x14ac:dyDescent="0.2">
      <c r="A15" s="1" t="s">
        <v>11</v>
      </c>
    </row>
    <row r="16" spans="1:8" ht="17" thickBot="1" x14ac:dyDescent="0.25"/>
    <row r="17" spans="1:8" ht="17" thickBot="1" x14ac:dyDescent="0.25">
      <c r="A17" s="3" t="s">
        <v>12</v>
      </c>
      <c r="B17" s="6"/>
      <c r="C17" s="6"/>
      <c r="D17" s="6"/>
      <c r="E17" s="6"/>
      <c r="F17" s="6"/>
      <c r="G17" s="6"/>
      <c r="H17" s="7"/>
    </row>
    <row r="18" spans="1:8" x14ac:dyDescent="0.2">
      <c r="A18" s="1" t="s">
        <v>14</v>
      </c>
    </row>
    <row r="19" spans="1:8" x14ac:dyDescent="0.2">
      <c r="A19" s="1" t="s">
        <v>13</v>
      </c>
    </row>
    <row r="20" spans="1:8" x14ac:dyDescent="0.2">
      <c r="A20" s="1" t="s">
        <v>15</v>
      </c>
    </row>
    <row r="21" spans="1:8" x14ac:dyDescent="0.2">
      <c r="A21" s="1" t="s">
        <v>16</v>
      </c>
    </row>
    <row r="23" spans="1:8" x14ac:dyDescent="0.2">
      <c r="A23" s="1" t="s">
        <v>17</v>
      </c>
    </row>
    <row r="24" spans="1:8" x14ac:dyDescent="0.2">
      <c r="A24" s="1" t="s">
        <v>18</v>
      </c>
    </row>
    <row r="28" spans="1:8" ht="17" thickBot="1" x14ac:dyDescent="0.25"/>
    <row r="29" spans="1:8" ht="17" thickBot="1" x14ac:dyDescent="0.25">
      <c r="A29" s="8" t="s">
        <v>19</v>
      </c>
      <c r="B29" s="9"/>
      <c r="C29" s="9"/>
      <c r="D29" s="9"/>
      <c r="E29" s="9"/>
      <c r="F29" s="9"/>
      <c r="G29" s="9"/>
      <c r="H29" s="10"/>
    </row>
    <row r="31" spans="1:8" x14ac:dyDescent="0.2">
      <c r="A31" s="1" t="s">
        <v>20</v>
      </c>
    </row>
    <row r="32" spans="1:8" x14ac:dyDescent="0.2">
      <c r="A32" s="1" t="s">
        <v>21</v>
      </c>
    </row>
    <row r="33" spans="1:8" x14ac:dyDescent="0.2">
      <c r="A33" s="1" t="s">
        <v>22</v>
      </c>
    </row>
    <row r="34" spans="1:8" x14ac:dyDescent="0.2">
      <c r="A34" s="1" t="s">
        <v>1581</v>
      </c>
    </row>
    <row r="36" spans="1:8" x14ac:dyDescent="0.2">
      <c r="A36" s="11" t="s">
        <v>23</v>
      </c>
      <c r="B36" s="11"/>
      <c r="C36" s="11"/>
      <c r="D36" s="11"/>
      <c r="E36" s="11"/>
      <c r="F36" s="11"/>
      <c r="G36" s="11"/>
      <c r="H36" s="11"/>
    </row>
    <row r="37" spans="1:8" x14ac:dyDescent="0.2">
      <c r="A37" s="1" t="s">
        <v>24</v>
      </c>
    </row>
    <row r="38" spans="1:8" x14ac:dyDescent="0.2">
      <c r="A38" s="1" t="s">
        <v>25</v>
      </c>
    </row>
    <row r="39" spans="1:8" x14ac:dyDescent="0.2">
      <c r="A39" s="1" t="s">
        <v>26</v>
      </c>
    </row>
    <row r="41" spans="1:8" x14ac:dyDescent="0.2">
      <c r="A41" s="1" t="s">
        <v>27</v>
      </c>
    </row>
    <row r="43" spans="1:8" x14ac:dyDescent="0.2">
      <c r="A43" s="1" t="s">
        <v>28</v>
      </c>
    </row>
    <row r="46" spans="1:8" x14ac:dyDescent="0.2">
      <c r="B46" s="1" t="s">
        <v>35</v>
      </c>
      <c r="D46" s="1" t="s">
        <v>1582</v>
      </c>
      <c r="G46" s="1" t="s">
        <v>36</v>
      </c>
    </row>
    <row r="47" spans="1:8" x14ac:dyDescent="0.2">
      <c r="B47" s="1" t="s">
        <v>29</v>
      </c>
      <c r="D47" s="1" t="s">
        <v>1583</v>
      </c>
      <c r="G47" s="1" t="s">
        <v>32</v>
      </c>
    </row>
    <row r="48" spans="1:8" x14ac:dyDescent="0.2">
      <c r="B48" s="1" t="s">
        <v>30</v>
      </c>
      <c r="D48" s="1" t="s">
        <v>1584</v>
      </c>
      <c r="G48" s="1" t="s">
        <v>33</v>
      </c>
    </row>
    <row r="49" spans="1:8" x14ac:dyDescent="0.2">
      <c r="B49" s="1" t="s">
        <v>31</v>
      </c>
      <c r="D49" s="1" t="s">
        <v>1585</v>
      </c>
      <c r="G49" s="2" t="s">
        <v>37</v>
      </c>
    </row>
    <row r="50" spans="1:8" x14ac:dyDescent="0.2">
      <c r="B50" s="2" t="s">
        <v>34</v>
      </c>
    </row>
    <row r="53" spans="1:8" x14ac:dyDescent="0.2">
      <c r="A53" s="1" t="s">
        <v>38</v>
      </c>
      <c r="B53" s="70">
        <v>-40000</v>
      </c>
      <c r="C53" s="12" t="s">
        <v>39</v>
      </c>
      <c r="D53" s="1" t="s">
        <v>40</v>
      </c>
    </row>
    <row r="54" spans="1:8" x14ac:dyDescent="0.2">
      <c r="A54" s="1" t="s">
        <v>41</v>
      </c>
      <c r="B54" s="70">
        <v>5</v>
      </c>
      <c r="C54" s="12" t="s">
        <v>42</v>
      </c>
      <c r="D54" s="1" t="s">
        <v>43</v>
      </c>
    </row>
    <row r="55" spans="1:8" x14ac:dyDescent="0.2">
      <c r="A55" s="1" t="s">
        <v>44</v>
      </c>
      <c r="B55" s="70">
        <v>7</v>
      </c>
      <c r="C55" s="12" t="s">
        <v>45</v>
      </c>
      <c r="D55" s="1" t="s">
        <v>46</v>
      </c>
    </row>
    <row r="56" spans="1:8" x14ac:dyDescent="0.2">
      <c r="A56" s="1" t="s">
        <v>49</v>
      </c>
      <c r="B56" s="70">
        <v>0</v>
      </c>
      <c r="C56" s="12" t="s">
        <v>47</v>
      </c>
      <c r="D56" s="1" t="s">
        <v>48</v>
      </c>
    </row>
    <row r="57" spans="1:8" x14ac:dyDescent="0.2">
      <c r="A57" s="1" t="s">
        <v>52</v>
      </c>
      <c r="B57" s="17">
        <f>FV(B54/100,B55,B56,B53)</f>
        <v>56284.016906250006</v>
      </c>
      <c r="C57" s="12" t="s">
        <v>50</v>
      </c>
      <c r="D57" s="13" t="s">
        <v>51</v>
      </c>
      <c r="E57" s="193" t="s">
        <v>1586</v>
      </c>
    </row>
    <row r="58" spans="1:8" s="193" customFormat="1" x14ac:dyDescent="0.2"/>
    <row r="59" spans="1:8" s="193" customFormat="1" x14ac:dyDescent="0.2">
      <c r="A59" s="194" t="s">
        <v>53</v>
      </c>
    </row>
    <row r="60" spans="1:8" s="193" customFormat="1" x14ac:dyDescent="0.2"/>
    <row r="61" spans="1:8" x14ac:dyDescent="0.2">
      <c r="A61" s="11" t="s">
        <v>54</v>
      </c>
      <c r="B61" s="11"/>
      <c r="C61" s="11"/>
      <c r="D61" s="11"/>
      <c r="E61" s="11"/>
      <c r="F61" s="11"/>
      <c r="G61" s="11"/>
      <c r="H61" s="11"/>
    </row>
    <row r="63" spans="1:8" x14ac:dyDescent="0.2">
      <c r="A63" s="1" t="s">
        <v>55</v>
      </c>
    </row>
    <row r="64" spans="1:8" x14ac:dyDescent="0.2">
      <c r="A64" s="1" t="s">
        <v>56</v>
      </c>
    </row>
    <row r="65" spans="1:8" x14ac:dyDescent="0.2">
      <c r="A65" s="1" t="s">
        <v>57</v>
      </c>
    </row>
    <row r="67" spans="1:8" x14ac:dyDescent="0.2">
      <c r="A67" s="1" t="s">
        <v>38</v>
      </c>
      <c r="B67" s="70">
        <v>-100000</v>
      </c>
      <c r="C67" s="12" t="s">
        <v>39</v>
      </c>
      <c r="D67" s="1" t="s">
        <v>58</v>
      </c>
    </row>
    <row r="68" spans="1:8" x14ac:dyDescent="0.2">
      <c r="A68" s="1" t="s">
        <v>41</v>
      </c>
      <c r="B68" s="70">
        <v>0.1</v>
      </c>
      <c r="C68" s="12" t="s">
        <v>42</v>
      </c>
      <c r="D68" s="1" t="s">
        <v>59</v>
      </c>
    </row>
    <row r="69" spans="1:8" x14ac:dyDescent="0.2">
      <c r="A69" s="1" t="s">
        <v>44</v>
      </c>
      <c r="B69" s="70">
        <v>36</v>
      </c>
      <c r="C69" s="12" t="s">
        <v>45</v>
      </c>
      <c r="D69" s="1" t="s">
        <v>60</v>
      </c>
    </row>
    <row r="70" spans="1:8" x14ac:dyDescent="0.2">
      <c r="A70" s="1" t="s">
        <v>49</v>
      </c>
      <c r="B70" s="70">
        <v>0</v>
      </c>
      <c r="C70" s="12" t="s">
        <v>47</v>
      </c>
      <c r="D70" s="1" t="s">
        <v>61</v>
      </c>
    </row>
    <row r="71" spans="1:8" x14ac:dyDescent="0.2">
      <c r="A71" s="1" t="s">
        <v>52</v>
      </c>
      <c r="B71" s="17">
        <f>FV(B68/100,B69,B70,B67)</f>
        <v>103663.71992839432</v>
      </c>
      <c r="C71" s="12" t="s">
        <v>50</v>
      </c>
      <c r="D71" s="13" t="s">
        <v>51</v>
      </c>
    </row>
    <row r="73" spans="1:8" x14ac:dyDescent="0.2">
      <c r="A73" s="11" t="s">
        <v>62</v>
      </c>
      <c r="B73" s="11"/>
      <c r="C73" s="11"/>
      <c r="D73" s="11"/>
      <c r="E73" s="11"/>
      <c r="F73" s="11"/>
      <c r="G73" s="11"/>
      <c r="H73" s="11"/>
    </row>
    <row r="75" spans="1:8" x14ac:dyDescent="0.2">
      <c r="A75" s="1" t="s">
        <v>63</v>
      </c>
    </row>
    <row r="76" spans="1:8" x14ac:dyDescent="0.2">
      <c r="A76" s="1" t="s">
        <v>64</v>
      </c>
    </row>
    <row r="77" spans="1:8" x14ac:dyDescent="0.2">
      <c r="A77" s="1" t="s">
        <v>65</v>
      </c>
    </row>
    <row r="78" spans="1:8" x14ac:dyDescent="0.2">
      <c r="A78" s="1" t="s">
        <v>66</v>
      </c>
    </row>
    <row r="81" spans="1:12" x14ac:dyDescent="0.2">
      <c r="C81" s="1" t="s">
        <v>67</v>
      </c>
    </row>
    <row r="84" spans="1:12" x14ac:dyDescent="0.2">
      <c r="C84" s="1" t="s">
        <v>68</v>
      </c>
      <c r="F84" s="1" t="s">
        <v>70</v>
      </c>
    </row>
    <row r="85" spans="1:12" x14ac:dyDescent="0.2">
      <c r="C85" s="1" t="s">
        <v>69</v>
      </c>
      <c r="F85" s="1" t="s">
        <v>1587</v>
      </c>
    </row>
    <row r="88" spans="1:12" x14ac:dyDescent="0.2">
      <c r="F88" s="12">
        <v>0.5</v>
      </c>
      <c r="G88" s="1" t="s">
        <v>42</v>
      </c>
      <c r="H88" s="14" t="s">
        <v>73</v>
      </c>
    </row>
    <row r="89" spans="1:12" x14ac:dyDescent="0.2">
      <c r="F89" s="12">
        <f>5*12</f>
        <v>60</v>
      </c>
      <c r="G89" s="1" t="s">
        <v>45</v>
      </c>
      <c r="H89" s="14" t="s">
        <v>74</v>
      </c>
      <c r="L89" s="1" t="s">
        <v>1588</v>
      </c>
    </row>
    <row r="90" spans="1:12" x14ac:dyDescent="0.2">
      <c r="F90" s="12">
        <v>0</v>
      </c>
      <c r="G90" s="1" t="s">
        <v>39</v>
      </c>
      <c r="H90" s="1" t="s">
        <v>71</v>
      </c>
    </row>
    <row r="91" spans="1:12" x14ac:dyDescent="0.2">
      <c r="F91" s="12">
        <v>-100</v>
      </c>
      <c r="G91" s="1" t="s">
        <v>47</v>
      </c>
      <c r="H91" s="1" t="s">
        <v>72</v>
      </c>
    </row>
    <row r="92" spans="1:12" x14ac:dyDescent="0.2">
      <c r="F92" s="15">
        <f>FV(F88/100,F89,F91,F90)</f>
        <v>6977.0030509860744</v>
      </c>
      <c r="G92" s="1" t="s">
        <v>50</v>
      </c>
      <c r="H92" s="13" t="s">
        <v>51</v>
      </c>
    </row>
    <row r="95" spans="1:12" x14ac:dyDescent="0.2">
      <c r="A95" s="11" t="s">
        <v>75</v>
      </c>
      <c r="B95" s="11"/>
      <c r="C95" s="11"/>
      <c r="D95" s="11"/>
      <c r="E95" s="11"/>
      <c r="F95" s="11"/>
      <c r="G95" s="11"/>
      <c r="H95" s="11"/>
    </row>
    <row r="96" spans="1:12" x14ac:dyDescent="0.2">
      <c r="A96" s="1" t="s">
        <v>76</v>
      </c>
    </row>
    <row r="97" spans="1:9" x14ac:dyDescent="0.2">
      <c r="A97" s="1" t="s">
        <v>77</v>
      </c>
    </row>
    <row r="99" spans="1:9" x14ac:dyDescent="0.2">
      <c r="F99" s="70">
        <v>1.5</v>
      </c>
      <c r="G99" s="1" t="s">
        <v>42</v>
      </c>
      <c r="H99" s="1" t="s">
        <v>78</v>
      </c>
    </row>
    <row r="100" spans="1:9" x14ac:dyDescent="0.2">
      <c r="F100" s="70">
        <f>10*4</f>
        <v>40</v>
      </c>
      <c r="G100" s="1" t="s">
        <v>45</v>
      </c>
      <c r="H100" s="1" t="s">
        <v>79</v>
      </c>
    </row>
    <row r="101" spans="1:9" x14ac:dyDescent="0.2">
      <c r="F101" s="70">
        <v>0</v>
      </c>
      <c r="G101" s="1" t="s">
        <v>39</v>
      </c>
      <c r="H101" s="1" t="s">
        <v>71</v>
      </c>
    </row>
    <row r="102" spans="1:9" x14ac:dyDescent="0.2">
      <c r="F102" s="70">
        <v>-400</v>
      </c>
      <c r="G102" s="1" t="s">
        <v>47</v>
      </c>
      <c r="H102" s="1" t="s">
        <v>80</v>
      </c>
    </row>
    <row r="103" spans="1:9" x14ac:dyDescent="0.2">
      <c r="F103" s="195">
        <f>FV(F99/100,F100,F102,F101)</f>
        <v>21707.157564505105</v>
      </c>
      <c r="G103" s="1" t="s">
        <v>50</v>
      </c>
      <c r="H103" s="13" t="s">
        <v>51</v>
      </c>
    </row>
    <row r="105" spans="1:9" x14ac:dyDescent="0.2">
      <c r="A105" s="11" t="s">
        <v>81</v>
      </c>
      <c r="B105" s="11"/>
      <c r="C105" s="11"/>
      <c r="D105" s="11"/>
      <c r="E105" s="11"/>
      <c r="F105" s="11"/>
      <c r="G105" s="11"/>
      <c r="H105" s="11"/>
    </row>
    <row r="107" spans="1:9" x14ac:dyDescent="0.2">
      <c r="A107" s="1" t="s">
        <v>87</v>
      </c>
    </row>
    <row r="108" spans="1:9" x14ac:dyDescent="0.2">
      <c r="A108" s="1" t="s">
        <v>82</v>
      </c>
    </row>
    <row r="109" spans="1:9" x14ac:dyDescent="0.2">
      <c r="A109" s="1" t="s">
        <v>88</v>
      </c>
    </row>
    <row r="110" spans="1:9" ht="17" thickBot="1" x14ac:dyDescent="0.25"/>
    <row r="111" spans="1:9" x14ac:dyDescent="0.2">
      <c r="A111" s="2" t="s">
        <v>27</v>
      </c>
      <c r="G111" s="30" t="s">
        <v>1589</v>
      </c>
      <c r="H111" s="31"/>
      <c r="I111" s="23"/>
    </row>
    <row r="112" spans="1:9" x14ac:dyDescent="0.2">
      <c r="G112" s="24" t="s">
        <v>1590</v>
      </c>
      <c r="I112" s="25"/>
    </row>
    <row r="113" spans="1:9" ht="17" thickBot="1" x14ac:dyDescent="0.25">
      <c r="A113" s="1" t="s">
        <v>83</v>
      </c>
      <c r="G113" s="26" t="s">
        <v>1591</v>
      </c>
      <c r="H113" s="27"/>
      <c r="I113" s="28"/>
    </row>
    <row r="114" spans="1:9" x14ac:dyDescent="0.2">
      <c r="A114" s="1" t="s">
        <v>84</v>
      </c>
    </row>
    <row r="115" spans="1:9" x14ac:dyDescent="0.2">
      <c r="A115" s="1" t="s">
        <v>85</v>
      </c>
    </row>
    <row r="117" spans="1:9" x14ac:dyDescent="0.2">
      <c r="A117" s="2" t="s">
        <v>86</v>
      </c>
    </row>
    <row r="119" spans="1:9" x14ac:dyDescent="0.2">
      <c r="F119" s="12">
        <v>0.4</v>
      </c>
      <c r="G119" s="1" t="s">
        <v>42</v>
      </c>
      <c r="H119" s="1" t="s">
        <v>1592</v>
      </c>
    </row>
    <row r="120" spans="1:9" x14ac:dyDescent="0.2">
      <c r="E120" s="1" t="s">
        <v>1594</v>
      </c>
      <c r="F120" s="12">
        <f>4*12</f>
        <v>48</v>
      </c>
      <c r="G120" s="1" t="s">
        <v>45</v>
      </c>
      <c r="H120" s="1" t="s">
        <v>1593</v>
      </c>
    </row>
    <row r="121" spans="1:9" x14ac:dyDescent="0.2">
      <c r="F121" s="12">
        <v>-25000</v>
      </c>
      <c r="G121" s="1" t="s">
        <v>39</v>
      </c>
      <c r="H121" s="1" t="s">
        <v>1595</v>
      </c>
    </row>
    <row r="122" spans="1:9" x14ac:dyDescent="0.2">
      <c r="F122" s="12">
        <v>-500</v>
      </c>
      <c r="G122" s="1" t="s">
        <v>47</v>
      </c>
      <c r="H122" s="1" t="s">
        <v>1596</v>
      </c>
    </row>
    <row r="123" spans="1:9" x14ac:dyDescent="0.2">
      <c r="F123" s="15">
        <f>FV(F119/100,F120,F122,F121)</f>
        <v>56680.984206238849</v>
      </c>
      <c r="G123" s="1" t="s">
        <v>50</v>
      </c>
      <c r="H123" s="13" t="s">
        <v>51</v>
      </c>
    </row>
    <row r="125" spans="1:9" x14ac:dyDescent="0.2">
      <c r="A125" s="11" t="s">
        <v>89</v>
      </c>
      <c r="B125" s="11"/>
      <c r="C125" s="11"/>
      <c r="D125" s="11"/>
      <c r="E125" s="11"/>
      <c r="F125" s="11"/>
      <c r="G125" s="11"/>
      <c r="H125" s="11"/>
    </row>
    <row r="127" spans="1:9" x14ac:dyDescent="0.2">
      <c r="A127" s="1" t="s">
        <v>90</v>
      </c>
    </row>
    <row r="128" spans="1:9" x14ac:dyDescent="0.2">
      <c r="A128" s="1" t="s">
        <v>91</v>
      </c>
    </row>
    <row r="129" spans="1:7" x14ac:dyDescent="0.2">
      <c r="A129" s="1" t="s">
        <v>92</v>
      </c>
    </row>
    <row r="130" spans="1:7" x14ac:dyDescent="0.2">
      <c r="A130" s="1" t="s">
        <v>93</v>
      </c>
    </row>
    <row r="132" spans="1:7" x14ac:dyDescent="0.2">
      <c r="A132" s="1" t="s">
        <v>27</v>
      </c>
    </row>
    <row r="134" spans="1:7" x14ac:dyDescent="0.2">
      <c r="A134" s="1" t="s">
        <v>94</v>
      </c>
    </row>
    <row r="135" spans="1:7" x14ac:dyDescent="0.2">
      <c r="A135" s="1" t="s">
        <v>95</v>
      </c>
    </row>
    <row r="137" spans="1:7" x14ac:dyDescent="0.2">
      <c r="A137" s="1" t="s">
        <v>97</v>
      </c>
      <c r="D137" s="70">
        <v>0.3</v>
      </c>
      <c r="E137" s="1" t="s">
        <v>42</v>
      </c>
    </row>
    <row r="138" spans="1:7" x14ac:dyDescent="0.2">
      <c r="A138" s="1" t="s">
        <v>96</v>
      </c>
      <c r="D138" s="17">
        <f>NPER(D137/100,D140,D139,D141)</f>
        <v>263.21315198238585</v>
      </c>
      <c r="E138" s="1" t="s">
        <v>45</v>
      </c>
      <c r="F138" s="13" t="s">
        <v>51</v>
      </c>
    </row>
    <row r="139" spans="1:7" x14ac:dyDescent="0.2">
      <c r="A139" s="1" t="s">
        <v>98</v>
      </c>
      <c r="D139" s="70">
        <v>0</v>
      </c>
      <c r="E139" s="1" t="s">
        <v>39</v>
      </c>
    </row>
    <row r="140" spans="1:7" x14ac:dyDescent="0.2">
      <c r="A140" s="1" t="s">
        <v>99</v>
      </c>
      <c r="D140" s="70">
        <v>-1000</v>
      </c>
      <c r="E140" s="1" t="s">
        <v>47</v>
      </c>
    </row>
    <row r="141" spans="1:7" x14ac:dyDescent="0.2">
      <c r="A141" s="1" t="s">
        <v>100</v>
      </c>
      <c r="D141" s="70">
        <v>400000</v>
      </c>
      <c r="E141" s="1" t="s">
        <v>50</v>
      </c>
    </row>
    <row r="143" spans="1:7" x14ac:dyDescent="0.2">
      <c r="A143" s="1" t="s">
        <v>101</v>
      </c>
    </row>
    <row r="144" spans="1:7" x14ac:dyDescent="0.2">
      <c r="A144" s="1" t="s">
        <v>102</v>
      </c>
      <c r="E144" s="16">
        <f>263/12</f>
        <v>21.916666666666668</v>
      </c>
      <c r="G144" s="1" t="s">
        <v>103</v>
      </c>
    </row>
    <row r="146" spans="1:8" x14ac:dyDescent="0.2">
      <c r="A146" s="1" t="s">
        <v>104</v>
      </c>
    </row>
    <row r="147" spans="1:8" x14ac:dyDescent="0.2">
      <c r="A147" s="1" t="s">
        <v>105</v>
      </c>
    </row>
    <row r="149" spans="1:8" x14ac:dyDescent="0.2">
      <c r="A149" s="11" t="s">
        <v>106</v>
      </c>
      <c r="B149" s="11"/>
      <c r="C149" s="11"/>
      <c r="D149" s="11"/>
      <c r="E149" s="11"/>
      <c r="F149" s="11"/>
      <c r="G149" s="11"/>
      <c r="H149" s="11"/>
    </row>
    <row r="150" spans="1:8" x14ac:dyDescent="0.2">
      <c r="A150" s="1" t="s">
        <v>107</v>
      </c>
    </row>
    <row r="151" spans="1:8" x14ac:dyDescent="0.2">
      <c r="A151" s="1" t="s">
        <v>108</v>
      </c>
    </row>
    <row r="152" spans="1:8" x14ac:dyDescent="0.2">
      <c r="A152" s="1" t="s">
        <v>109</v>
      </c>
    </row>
    <row r="154" spans="1:8" x14ac:dyDescent="0.2">
      <c r="A154" s="1" t="s">
        <v>110</v>
      </c>
      <c r="D154" s="70">
        <v>0.4</v>
      </c>
      <c r="E154" s="1" t="s">
        <v>42</v>
      </c>
    </row>
    <row r="155" spans="1:8" x14ac:dyDescent="0.2">
      <c r="A155" s="1" t="s">
        <v>114</v>
      </c>
      <c r="D155" s="17">
        <f>NPER(D154/100,D157,D156,D158)</f>
        <v>194.81473571359967</v>
      </c>
      <c r="E155" s="1" t="s">
        <v>45</v>
      </c>
      <c r="F155" s="13" t="s">
        <v>51</v>
      </c>
    </row>
    <row r="156" spans="1:8" x14ac:dyDescent="0.2">
      <c r="A156" s="1" t="s">
        <v>111</v>
      </c>
      <c r="D156" s="70">
        <v>-900000</v>
      </c>
      <c r="E156" s="1" t="s">
        <v>39</v>
      </c>
    </row>
    <row r="157" spans="1:8" x14ac:dyDescent="0.2">
      <c r="A157" s="1" t="s">
        <v>112</v>
      </c>
      <c r="D157" s="70">
        <v>-10000</v>
      </c>
      <c r="E157" s="1" t="s">
        <v>47</v>
      </c>
    </row>
    <row r="158" spans="1:8" x14ac:dyDescent="0.2">
      <c r="A158" s="1" t="s">
        <v>113</v>
      </c>
      <c r="D158" s="70">
        <v>4900000</v>
      </c>
      <c r="E158" s="1" t="s">
        <v>50</v>
      </c>
    </row>
    <row r="160" spans="1:8" x14ac:dyDescent="0.2">
      <c r="A160" s="1" t="s">
        <v>115</v>
      </c>
    </row>
    <row r="162" spans="1:8" x14ac:dyDescent="0.2">
      <c r="A162" s="11" t="s">
        <v>123</v>
      </c>
      <c r="B162" s="11"/>
      <c r="C162" s="11"/>
      <c r="D162" s="11"/>
      <c r="E162" s="11"/>
      <c r="F162" s="11"/>
      <c r="G162" s="11"/>
      <c r="H162" s="11"/>
    </row>
    <row r="163" spans="1:8" x14ac:dyDescent="0.2">
      <c r="A163" s="1" t="s">
        <v>116</v>
      </c>
    </row>
    <row r="164" spans="1:8" x14ac:dyDescent="0.2">
      <c r="A164" s="1" t="s">
        <v>117</v>
      </c>
    </row>
    <row r="165" spans="1:8" x14ac:dyDescent="0.2">
      <c r="A165" s="1" t="s">
        <v>118</v>
      </c>
    </row>
    <row r="167" spans="1:8" x14ac:dyDescent="0.2">
      <c r="A167" s="1" t="s">
        <v>122</v>
      </c>
      <c r="D167" s="19">
        <f>RATE(D168,D170,D169,D171)*100</f>
        <v>2.0156285042577786</v>
      </c>
      <c r="E167" s="1" t="s">
        <v>42</v>
      </c>
      <c r="F167" s="13" t="s">
        <v>51</v>
      </c>
      <c r="H167" s="1" t="s">
        <v>1597</v>
      </c>
    </row>
    <row r="168" spans="1:8" x14ac:dyDescent="0.2">
      <c r="A168" s="1" t="s">
        <v>119</v>
      </c>
      <c r="D168" s="70">
        <v>12</v>
      </c>
      <c r="E168" s="1" t="s">
        <v>45</v>
      </c>
      <c r="H168" s="1" t="s">
        <v>1598</v>
      </c>
    </row>
    <row r="169" spans="1:8" x14ac:dyDescent="0.2">
      <c r="A169" s="1" t="s">
        <v>111</v>
      </c>
      <c r="D169" s="70">
        <v>-280000</v>
      </c>
      <c r="E169" s="1" t="s">
        <v>39</v>
      </c>
      <c r="H169" s="1" t="s">
        <v>1599</v>
      </c>
    </row>
    <row r="170" spans="1:8" x14ac:dyDescent="0.2">
      <c r="A170" s="1" t="s">
        <v>120</v>
      </c>
      <c r="D170" s="70">
        <v>-10000</v>
      </c>
      <c r="E170" s="1" t="s">
        <v>47</v>
      </c>
    </row>
    <row r="171" spans="1:8" x14ac:dyDescent="0.2">
      <c r="A171" s="1" t="s">
        <v>121</v>
      </c>
      <c r="D171" s="81">
        <v>490000</v>
      </c>
      <c r="E171" s="1" t="s">
        <v>50</v>
      </c>
    </row>
    <row r="173" spans="1:8" x14ac:dyDescent="0.2">
      <c r="A173" s="11" t="s">
        <v>124</v>
      </c>
      <c r="B173" s="11"/>
      <c r="C173" s="11"/>
      <c r="D173" s="11"/>
      <c r="E173" s="11"/>
      <c r="F173" s="11"/>
      <c r="G173" s="11"/>
      <c r="H173" s="11"/>
    </row>
    <row r="174" spans="1:8" x14ac:dyDescent="0.2">
      <c r="A174" s="1" t="s">
        <v>125</v>
      </c>
    </row>
    <row r="175" spans="1:8" x14ac:dyDescent="0.2">
      <c r="A175" s="1" t="s">
        <v>126</v>
      </c>
    </row>
    <row r="176" spans="1:8" x14ac:dyDescent="0.2">
      <c r="A176" s="1" t="s">
        <v>127</v>
      </c>
    </row>
    <row r="178" spans="1:8" x14ac:dyDescent="0.2">
      <c r="A178" s="1" t="s">
        <v>132</v>
      </c>
      <c r="E178" s="196">
        <f>RATE(E179,E181,E180,E182)*100</f>
        <v>6.5388913930176153</v>
      </c>
      <c r="F178" s="1" t="s">
        <v>42</v>
      </c>
      <c r="G178" s="13" t="s">
        <v>51</v>
      </c>
    </row>
    <row r="179" spans="1:8" x14ac:dyDescent="0.2">
      <c r="A179" s="1" t="s">
        <v>128</v>
      </c>
      <c r="E179" s="70">
        <v>12</v>
      </c>
      <c r="F179" s="1" t="s">
        <v>45</v>
      </c>
    </row>
    <row r="180" spans="1:8" x14ac:dyDescent="0.2">
      <c r="A180" s="1" t="s">
        <v>129</v>
      </c>
      <c r="E180" s="70">
        <v>-80000</v>
      </c>
      <c r="F180" s="1" t="s">
        <v>39</v>
      </c>
    </row>
    <row r="181" spans="1:8" x14ac:dyDescent="0.2">
      <c r="A181" s="1" t="s">
        <v>130</v>
      </c>
      <c r="E181" s="70">
        <v>-12000</v>
      </c>
      <c r="F181" s="1" t="s">
        <v>47</v>
      </c>
    </row>
    <row r="182" spans="1:8" x14ac:dyDescent="0.2">
      <c r="A182" s="1" t="s">
        <v>131</v>
      </c>
      <c r="E182" s="81">
        <v>380000</v>
      </c>
      <c r="F182" s="1" t="s">
        <v>50</v>
      </c>
    </row>
    <row r="184" spans="1:8" x14ac:dyDescent="0.2">
      <c r="A184" s="2" t="s">
        <v>133</v>
      </c>
    </row>
    <row r="186" spans="1:8" x14ac:dyDescent="0.2">
      <c r="A186" s="1" t="s">
        <v>134</v>
      </c>
    </row>
    <row r="187" spans="1:8" x14ac:dyDescent="0.2">
      <c r="A187" s="1" t="s">
        <v>135</v>
      </c>
    </row>
    <row r="189" spans="1:8" x14ac:dyDescent="0.2">
      <c r="A189" s="2" t="s">
        <v>1604</v>
      </c>
      <c r="H189" s="2" t="s">
        <v>1600</v>
      </c>
    </row>
    <row r="190" spans="1:8" x14ac:dyDescent="0.2">
      <c r="H190" s="1" t="s">
        <v>1601</v>
      </c>
    </row>
    <row r="191" spans="1:8" x14ac:dyDescent="0.2">
      <c r="B191" s="1" t="s">
        <v>1605</v>
      </c>
      <c r="E191" s="198" t="s">
        <v>137</v>
      </c>
      <c r="F191" s="197" t="s">
        <v>136</v>
      </c>
      <c r="H191" s="1" t="s">
        <v>1602</v>
      </c>
    </row>
    <row r="192" spans="1:8" x14ac:dyDescent="0.2">
      <c r="H192" s="1" t="s">
        <v>1603</v>
      </c>
    </row>
    <row r="193" spans="1:8" x14ac:dyDescent="0.2">
      <c r="A193" s="231">
        <f>(1+6.539%)^12-1</f>
        <v>1.1384711369525191</v>
      </c>
      <c r="B193" s="230" t="s">
        <v>138</v>
      </c>
      <c r="C193" s="230">
        <f>(1+6.539%)^12-1</f>
        <v>1.1384711369525191</v>
      </c>
    </row>
    <row r="194" spans="1:8" x14ac:dyDescent="0.2">
      <c r="A194" s="231"/>
      <c r="B194" s="230"/>
      <c r="C194" s="230"/>
    </row>
    <row r="196" spans="1:8" x14ac:dyDescent="0.2">
      <c r="A196" s="2" t="s">
        <v>139</v>
      </c>
    </row>
    <row r="198" spans="1:8" x14ac:dyDescent="0.2">
      <c r="A198" s="11" t="s">
        <v>140</v>
      </c>
      <c r="B198" s="11"/>
      <c r="C198" s="11"/>
      <c r="D198" s="11"/>
      <c r="E198" s="11"/>
      <c r="F198" s="11"/>
      <c r="G198" s="11"/>
      <c r="H198" s="11"/>
    </row>
    <row r="199" spans="1:8" x14ac:dyDescent="0.2">
      <c r="A199" s="1" t="s">
        <v>141</v>
      </c>
    </row>
    <row r="200" spans="1:8" x14ac:dyDescent="0.2">
      <c r="A200" s="1" t="s">
        <v>142</v>
      </c>
    </row>
    <row r="201" spans="1:8" x14ac:dyDescent="0.2">
      <c r="A201" s="1" t="s">
        <v>143</v>
      </c>
    </row>
    <row r="202" spans="1:8" x14ac:dyDescent="0.2">
      <c r="A202" s="1" t="s">
        <v>144</v>
      </c>
    </row>
    <row r="204" spans="1:8" x14ac:dyDescent="0.2">
      <c r="A204" s="1" t="s">
        <v>145</v>
      </c>
    </row>
    <row r="206" spans="1:8" x14ac:dyDescent="0.2">
      <c r="A206" s="1" t="s">
        <v>146</v>
      </c>
    </row>
    <row r="208" spans="1:8" x14ac:dyDescent="0.2">
      <c r="A208" s="1" t="s">
        <v>150</v>
      </c>
      <c r="E208" s="196">
        <f>RATE(E209,E211,E210,E212)*100</f>
        <v>2.3975489534758179</v>
      </c>
      <c r="F208" s="1" t="s">
        <v>42</v>
      </c>
      <c r="G208" s="13" t="s">
        <v>51</v>
      </c>
    </row>
    <row r="209" spans="1:6" x14ac:dyDescent="0.2">
      <c r="A209" s="1" t="s">
        <v>148</v>
      </c>
      <c r="D209" s="1" t="s">
        <v>1606</v>
      </c>
      <c r="E209" s="70">
        <f>8*4</f>
        <v>32</v>
      </c>
      <c r="F209" s="1" t="s">
        <v>45</v>
      </c>
    </row>
    <row r="210" spans="1:6" x14ac:dyDescent="0.2">
      <c r="A210" s="1" t="s">
        <v>129</v>
      </c>
      <c r="E210" s="70">
        <v>-20000</v>
      </c>
      <c r="F210" s="1" t="s">
        <v>39</v>
      </c>
    </row>
    <row r="211" spans="1:6" x14ac:dyDescent="0.2">
      <c r="A211" s="1" t="s">
        <v>149</v>
      </c>
      <c r="E211" s="70">
        <v>-1000</v>
      </c>
      <c r="F211" s="1" t="s">
        <v>47</v>
      </c>
    </row>
    <row r="212" spans="1:6" x14ac:dyDescent="0.2">
      <c r="A212" s="1" t="s">
        <v>131</v>
      </c>
      <c r="E212" s="81">
        <v>90000</v>
      </c>
      <c r="F212" s="1" t="s">
        <v>50</v>
      </c>
    </row>
    <row r="215" spans="1:6" x14ac:dyDescent="0.2">
      <c r="A215" s="1" t="s">
        <v>147</v>
      </c>
    </row>
    <row r="217" spans="1:6" x14ac:dyDescent="0.2">
      <c r="A217" s="1" t="s">
        <v>151</v>
      </c>
    </row>
    <row r="220" spans="1:6" x14ac:dyDescent="0.2">
      <c r="A220" s="1" t="s">
        <v>152</v>
      </c>
    </row>
    <row r="221" spans="1:6" x14ac:dyDescent="0.2">
      <c r="B221" s="20">
        <f>(1+2.398%)^4-1</f>
        <v>9.9425730946629098E-2</v>
      </c>
      <c r="C221" s="1" t="s">
        <v>153</v>
      </c>
    </row>
    <row r="223" spans="1:6" x14ac:dyDescent="0.2">
      <c r="A223" s="1" t="s">
        <v>154</v>
      </c>
    </row>
    <row r="225" spans="1:8" x14ac:dyDescent="0.2">
      <c r="A225" s="11" t="s">
        <v>1607</v>
      </c>
      <c r="B225" s="199"/>
      <c r="C225" s="199"/>
      <c r="D225" s="199"/>
      <c r="E225" s="199"/>
      <c r="F225" s="199"/>
      <c r="G225" s="199"/>
      <c r="H225" s="199"/>
    </row>
    <row r="226" spans="1:8" x14ac:dyDescent="0.2">
      <c r="A226" s="1" t="s">
        <v>1608</v>
      </c>
    </row>
    <row r="227" spans="1:8" x14ac:dyDescent="0.2">
      <c r="A227" s="1" t="s">
        <v>1609</v>
      </c>
    </row>
    <row r="228" spans="1:8" x14ac:dyDescent="0.2">
      <c r="A228" s="1" t="s">
        <v>1610</v>
      </c>
    </row>
    <row r="229" spans="1:8" x14ac:dyDescent="0.2">
      <c r="A229" s="1" t="s">
        <v>1611</v>
      </c>
    </row>
    <row r="230" spans="1:8" x14ac:dyDescent="0.2">
      <c r="A230" s="1" t="s">
        <v>1612</v>
      </c>
    </row>
    <row r="231" spans="1:8" x14ac:dyDescent="0.2">
      <c r="A231" s="1" t="s">
        <v>1613</v>
      </c>
    </row>
    <row r="234" spans="1:8" x14ac:dyDescent="0.2">
      <c r="C234" s="201">
        <f>A241*100</f>
        <v>0.40741237836483535</v>
      </c>
      <c r="D234" s="1" t="s">
        <v>42</v>
      </c>
      <c r="E234" s="1" t="s">
        <v>1617</v>
      </c>
    </row>
    <row r="235" spans="1:8" x14ac:dyDescent="0.2">
      <c r="C235" s="1">
        <f>10*12</f>
        <v>120</v>
      </c>
      <c r="D235" s="1" t="s">
        <v>45</v>
      </c>
      <c r="E235" s="1" t="s">
        <v>1616</v>
      </c>
    </row>
    <row r="236" spans="1:8" x14ac:dyDescent="0.2">
      <c r="C236" s="1">
        <v>-400000</v>
      </c>
      <c r="D236" s="1" t="s">
        <v>39</v>
      </c>
      <c r="E236" s="1" t="s">
        <v>1615</v>
      </c>
    </row>
    <row r="237" spans="1:8" x14ac:dyDescent="0.2">
      <c r="C237" s="203">
        <f>PMT(C234/100,C235,C236,C238)</f>
        <v>-28170.20662589727</v>
      </c>
      <c r="D237" s="1" t="s">
        <v>47</v>
      </c>
      <c r="E237" s="1" t="s">
        <v>813</v>
      </c>
    </row>
    <row r="238" spans="1:8" x14ac:dyDescent="0.2">
      <c r="C238" s="86">
        <v>5000000</v>
      </c>
      <c r="D238" s="1" t="s">
        <v>50</v>
      </c>
      <c r="E238" s="1" t="s">
        <v>1614</v>
      </c>
    </row>
    <row r="240" spans="1:8" x14ac:dyDescent="0.2">
      <c r="A240" s="1" t="s">
        <v>1618</v>
      </c>
    </row>
    <row r="241" spans="1:8" x14ac:dyDescent="0.2">
      <c r="A241" s="200">
        <f>C241</f>
        <v>4.0741237836483535E-3</v>
      </c>
      <c r="B241" s="1" t="s">
        <v>1621</v>
      </c>
      <c r="C241" s="202">
        <f>(1+5%)^(1/12)-1</f>
        <v>4.0741237836483535E-3</v>
      </c>
    </row>
    <row r="243" spans="1:8" x14ac:dyDescent="0.2">
      <c r="A243" s="1" t="s">
        <v>1619</v>
      </c>
    </row>
    <row r="244" spans="1:8" x14ac:dyDescent="0.2">
      <c r="A244" s="1" t="s">
        <v>1620</v>
      </c>
    </row>
    <row r="245" spans="1:8" ht="17" thickBot="1" x14ac:dyDescent="0.25"/>
    <row r="246" spans="1:8" x14ac:dyDescent="0.2">
      <c r="A246" s="21" t="s">
        <v>155</v>
      </c>
      <c r="B246" s="22"/>
      <c r="C246" s="22"/>
      <c r="D246" s="22"/>
      <c r="E246" s="22"/>
      <c r="F246" s="22"/>
      <c r="G246" s="22"/>
      <c r="H246" s="23"/>
    </row>
    <row r="247" spans="1:8" x14ac:dyDescent="0.2">
      <c r="A247" s="24"/>
      <c r="H247" s="25"/>
    </row>
    <row r="248" spans="1:8" x14ac:dyDescent="0.2">
      <c r="A248" s="24" t="s">
        <v>156</v>
      </c>
      <c r="H248" s="25"/>
    </row>
    <row r="249" spans="1:8" x14ac:dyDescent="0.2">
      <c r="A249" s="24" t="s">
        <v>157</v>
      </c>
      <c r="H249" s="25"/>
    </row>
    <row r="250" spans="1:8" x14ac:dyDescent="0.2">
      <c r="A250" s="24" t="s">
        <v>158</v>
      </c>
      <c r="H250" s="25"/>
    </row>
    <row r="251" spans="1:8" x14ac:dyDescent="0.2">
      <c r="A251" s="24"/>
      <c r="H251" s="25"/>
    </row>
    <row r="252" spans="1:8" x14ac:dyDescent="0.2">
      <c r="A252" s="24" t="s">
        <v>159</v>
      </c>
      <c r="H252" s="25"/>
    </row>
    <row r="253" spans="1:8" x14ac:dyDescent="0.2">
      <c r="A253" s="24" t="s">
        <v>160</v>
      </c>
      <c r="H253" s="25"/>
    </row>
    <row r="254" spans="1:8" x14ac:dyDescent="0.2">
      <c r="A254" s="24"/>
      <c r="H254" s="25"/>
    </row>
    <row r="255" spans="1:8" x14ac:dyDescent="0.2">
      <c r="A255" s="24" t="s">
        <v>161</v>
      </c>
      <c r="H255" s="25"/>
    </row>
    <row r="256" spans="1:8" x14ac:dyDescent="0.2">
      <c r="A256" s="24" t="s">
        <v>162</v>
      </c>
      <c r="H256" s="25"/>
    </row>
    <row r="257" spans="1:8" ht="17" thickBot="1" x14ac:dyDescent="0.25">
      <c r="A257" s="26"/>
      <c r="B257" s="27"/>
      <c r="C257" s="27"/>
      <c r="D257" s="27"/>
      <c r="E257" s="27"/>
      <c r="F257" s="27"/>
      <c r="G257" s="27"/>
      <c r="H257" s="28"/>
    </row>
    <row r="259" spans="1:8" x14ac:dyDescent="0.2">
      <c r="A259" s="2" t="s">
        <v>163</v>
      </c>
    </row>
  </sheetData>
  <mergeCells count="4">
    <mergeCell ref="A1:H1"/>
    <mergeCell ref="C193:C194"/>
    <mergeCell ref="B193:B194"/>
    <mergeCell ref="A193:A194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2375EC-4D62-ED41-8F42-BC00434F8227}">
  <dimension ref="A1:K223"/>
  <sheetViews>
    <sheetView rightToLeft="1" topLeftCell="A207" zoomScale="280" zoomScaleNormal="280" workbookViewId="0">
      <selection sqref="A1:XFD1"/>
    </sheetView>
  </sheetViews>
  <sheetFormatPr baseColWidth="10" defaultRowHeight="16" x14ac:dyDescent="0.2"/>
  <cols>
    <col min="1" max="7" width="10.83203125" style="1"/>
    <col min="8" max="8" width="9.6640625" style="1" customWidth="1"/>
    <col min="9" max="16384" width="10.83203125" style="1"/>
  </cols>
  <sheetData>
    <row r="1" spans="1:8" x14ac:dyDescent="0.2">
      <c r="A1" s="29" t="s">
        <v>1256</v>
      </c>
      <c r="B1" s="29"/>
      <c r="C1" s="29"/>
      <c r="D1" s="29"/>
      <c r="E1" s="29"/>
      <c r="F1" s="29"/>
      <c r="G1" s="29"/>
      <c r="H1" s="140">
        <v>45296</v>
      </c>
    </row>
    <row r="2" spans="1:8" ht="17" thickBot="1" x14ac:dyDescent="0.25"/>
    <row r="3" spans="1:8" ht="17" thickBot="1" x14ac:dyDescent="0.25">
      <c r="A3" s="103" t="s">
        <v>1119</v>
      </c>
      <c r="B3" s="6"/>
      <c r="C3" s="6"/>
      <c r="D3" s="6"/>
      <c r="E3" s="6"/>
      <c r="F3" s="6"/>
      <c r="G3" s="6"/>
      <c r="H3" s="7"/>
    </row>
    <row r="5" spans="1:8" x14ac:dyDescent="0.2">
      <c r="A5" s="1" t="s">
        <v>1120</v>
      </c>
      <c r="B5" s="1" t="s">
        <v>1252</v>
      </c>
      <c r="F5" s="87">
        <v>45655</v>
      </c>
      <c r="G5" s="1" t="s">
        <v>1254</v>
      </c>
    </row>
    <row r="6" spans="1:8" x14ac:dyDescent="0.2">
      <c r="A6" s="1" t="s">
        <v>1121</v>
      </c>
      <c r="B6" s="1" t="s">
        <v>1253</v>
      </c>
      <c r="F6" s="87">
        <v>45662</v>
      </c>
      <c r="G6" s="1" t="s">
        <v>1255</v>
      </c>
    </row>
    <row r="7" spans="1:8" x14ac:dyDescent="0.2">
      <c r="A7" s="1" t="s">
        <v>1123</v>
      </c>
      <c r="B7" s="1" t="s">
        <v>1131</v>
      </c>
      <c r="F7" s="87">
        <v>45669</v>
      </c>
      <c r="G7" s="1" t="s">
        <v>1124</v>
      </c>
    </row>
    <row r="8" spans="1:8" x14ac:dyDescent="0.2">
      <c r="A8" s="1" t="s">
        <v>1125</v>
      </c>
      <c r="B8" s="1" t="s">
        <v>1126</v>
      </c>
      <c r="F8" s="87">
        <v>45690</v>
      </c>
    </row>
    <row r="10" spans="1:8" ht="31" x14ac:dyDescent="0.35">
      <c r="A10" s="157" t="s">
        <v>1317</v>
      </c>
    </row>
    <row r="11" spans="1:8" ht="17" thickBot="1" x14ac:dyDescent="0.25"/>
    <row r="12" spans="1:8" ht="17" thickBot="1" x14ac:dyDescent="0.25">
      <c r="A12" s="103" t="s">
        <v>1257</v>
      </c>
      <c r="B12" s="6"/>
      <c r="C12" s="6"/>
      <c r="D12" s="6"/>
      <c r="E12" s="6"/>
      <c r="F12" s="6"/>
      <c r="G12" s="6"/>
      <c r="H12" s="7"/>
    </row>
    <row r="13" spans="1:8" x14ac:dyDescent="0.2">
      <c r="A13" s="1" t="s">
        <v>1258</v>
      </c>
    </row>
    <row r="14" spans="1:8" x14ac:dyDescent="0.2">
      <c r="A14" s="1" t="s">
        <v>1259</v>
      </c>
    </row>
    <row r="15" spans="1:8" x14ac:dyDescent="0.2">
      <c r="A15" s="1" t="s">
        <v>1260</v>
      </c>
    </row>
    <row r="16" spans="1:8" x14ac:dyDescent="0.2">
      <c r="A16" s="1" t="s">
        <v>1261</v>
      </c>
    </row>
    <row r="17" spans="1:8" x14ac:dyDescent="0.2">
      <c r="A17" s="1" t="s">
        <v>1262</v>
      </c>
    </row>
    <row r="18" spans="1:8" x14ac:dyDescent="0.2">
      <c r="A18" s="1" t="s">
        <v>1263</v>
      </c>
    </row>
    <row r="20" spans="1:8" x14ac:dyDescent="0.2">
      <c r="A20" s="1" t="s">
        <v>1264</v>
      </c>
    </row>
    <row r="21" spans="1:8" x14ac:dyDescent="0.2">
      <c r="A21" s="1" t="s">
        <v>1265</v>
      </c>
    </row>
    <row r="23" spans="1:8" x14ac:dyDescent="0.2">
      <c r="A23" s="1" t="s">
        <v>1266</v>
      </c>
    </row>
    <row r="24" spans="1:8" x14ac:dyDescent="0.2">
      <c r="A24" s="1" t="s">
        <v>1267</v>
      </c>
    </row>
    <row r="26" spans="1:8" x14ac:dyDescent="0.2">
      <c r="A26" s="1" t="s">
        <v>1268</v>
      </c>
    </row>
    <row r="27" spans="1:8" x14ac:dyDescent="0.2">
      <c r="A27" s="1" t="s">
        <v>1269</v>
      </c>
    </row>
    <row r="29" spans="1:8" x14ac:dyDescent="0.2">
      <c r="A29" s="2" t="s">
        <v>1270</v>
      </c>
      <c r="B29" s="2"/>
      <c r="C29" s="2"/>
      <c r="D29" s="2"/>
      <c r="E29" s="2"/>
      <c r="F29" s="2"/>
      <c r="G29" s="2"/>
      <c r="H29" s="2"/>
    </row>
    <row r="30" spans="1:8" x14ac:dyDescent="0.2">
      <c r="A30" s="2" t="s">
        <v>1271</v>
      </c>
      <c r="B30" s="2"/>
      <c r="C30" s="2"/>
      <c r="D30" s="2"/>
      <c r="E30" s="2"/>
      <c r="F30" s="2"/>
      <c r="G30" s="2"/>
      <c r="H30" s="2"/>
    </row>
    <row r="31" spans="1:8" ht="17" thickBot="1" x14ac:dyDescent="0.25"/>
    <row r="32" spans="1:8" ht="17" thickBot="1" x14ac:dyDescent="0.25">
      <c r="A32" s="3" t="s">
        <v>1272</v>
      </c>
      <c r="B32" s="4"/>
      <c r="C32" s="4"/>
      <c r="D32" s="4"/>
      <c r="E32" s="4"/>
      <c r="F32" s="4"/>
      <c r="G32" s="4"/>
      <c r="H32" s="5"/>
    </row>
    <row r="33" spans="1:7" x14ac:dyDescent="0.2">
      <c r="A33" s="1" t="s">
        <v>1273</v>
      </c>
    </row>
    <row r="34" spans="1:7" x14ac:dyDescent="0.2">
      <c r="A34" s="1" t="s">
        <v>1274</v>
      </c>
    </row>
    <row r="35" spans="1:7" x14ac:dyDescent="0.2">
      <c r="A35" s="1" t="s">
        <v>1275</v>
      </c>
    </row>
    <row r="37" spans="1:7" x14ac:dyDescent="0.2">
      <c r="A37" s="1" t="s">
        <v>1276</v>
      </c>
    </row>
    <row r="39" spans="1:7" x14ac:dyDescent="0.2">
      <c r="A39" s="1" t="s">
        <v>1277</v>
      </c>
    </row>
    <row r="40" spans="1:7" x14ac:dyDescent="0.2">
      <c r="A40" s="1" t="s">
        <v>1278</v>
      </c>
    </row>
    <row r="42" spans="1:7" x14ac:dyDescent="0.2">
      <c r="A42" s="2" t="s">
        <v>27</v>
      </c>
    </row>
    <row r="44" spans="1:7" x14ac:dyDescent="0.2">
      <c r="A44" s="1" t="s">
        <v>1279</v>
      </c>
    </row>
    <row r="45" spans="1:7" x14ac:dyDescent="0.2">
      <c r="B45" s="1" t="s">
        <v>1280</v>
      </c>
    </row>
    <row r="46" spans="1:7" x14ac:dyDescent="0.2">
      <c r="B46" s="1" t="s">
        <v>1281</v>
      </c>
    </row>
    <row r="48" spans="1:7" x14ac:dyDescent="0.2">
      <c r="A48" s="58" t="s">
        <v>1290</v>
      </c>
      <c r="B48" s="58"/>
      <c r="C48" s="58"/>
      <c r="D48" s="58"/>
      <c r="E48" s="58"/>
      <c r="F48" s="58"/>
      <c r="G48" s="58"/>
    </row>
    <row r="50" spans="1:11" x14ac:dyDescent="0.2">
      <c r="D50" s="59"/>
      <c r="E50" s="58" t="s">
        <v>1194</v>
      </c>
      <c r="H50" s="59"/>
      <c r="I50" s="58" t="s">
        <v>177</v>
      </c>
    </row>
    <row r="51" spans="1:11" x14ac:dyDescent="0.2">
      <c r="A51" s="1" t="s">
        <v>1286</v>
      </c>
      <c r="D51" s="12">
        <v>24</v>
      </c>
      <c r="E51" s="1" t="s">
        <v>1195</v>
      </c>
      <c r="H51" s="12" t="s">
        <v>179</v>
      </c>
      <c r="I51" s="1" t="s">
        <v>178</v>
      </c>
    </row>
    <row r="52" spans="1:11" x14ac:dyDescent="0.2">
      <c r="A52" s="1" t="s">
        <v>1287</v>
      </c>
      <c r="D52" s="12">
        <v>24</v>
      </c>
      <c r="E52" s="1" t="s">
        <v>1196</v>
      </c>
      <c r="H52" s="12">
        <v>60</v>
      </c>
      <c r="I52" s="1" t="s">
        <v>45</v>
      </c>
      <c r="J52" s="1" t="s">
        <v>1284</v>
      </c>
    </row>
    <row r="53" spans="1:11" x14ac:dyDescent="0.2">
      <c r="A53" s="1" t="s">
        <v>1288</v>
      </c>
      <c r="D53" s="12"/>
      <c r="H53" s="12">
        <f>((1+4%)^(1/12)-1)*100</f>
        <v>0.32737397821989145</v>
      </c>
      <c r="I53" s="1" t="s">
        <v>42</v>
      </c>
      <c r="K53" s="107" t="s">
        <v>1282</v>
      </c>
    </row>
    <row r="54" spans="1:11" x14ac:dyDescent="0.2">
      <c r="D54" s="12"/>
      <c r="H54" s="12">
        <v>50000</v>
      </c>
      <c r="I54" s="1" t="s">
        <v>39</v>
      </c>
      <c r="J54" s="1" t="s">
        <v>1283</v>
      </c>
    </row>
    <row r="55" spans="1:11" x14ac:dyDescent="0.2">
      <c r="A55" s="1" t="s">
        <v>1289</v>
      </c>
      <c r="D55" s="110">
        <v>31168</v>
      </c>
      <c r="E55" s="1" t="s">
        <v>1200</v>
      </c>
      <c r="F55" s="1" t="s">
        <v>51</v>
      </c>
      <c r="H55" s="42">
        <f>PMT(H53/100,H52,H54,H56)</f>
        <v>-919.21339700330691</v>
      </c>
      <c r="I55" s="1" t="s">
        <v>47</v>
      </c>
      <c r="J55" s="1" t="s">
        <v>51</v>
      </c>
    </row>
    <row r="56" spans="1:11" x14ac:dyDescent="0.2">
      <c r="H56" s="12">
        <v>0</v>
      </c>
      <c r="I56" s="1" t="s">
        <v>50</v>
      </c>
      <c r="J56" s="1" t="s">
        <v>1285</v>
      </c>
    </row>
    <row r="57" spans="1:11" x14ac:dyDescent="0.2">
      <c r="H57" s="12"/>
    </row>
    <row r="58" spans="1:11" x14ac:dyDescent="0.2">
      <c r="A58" s="58" t="s">
        <v>1291</v>
      </c>
      <c r="B58" s="58"/>
      <c r="C58" s="58"/>
      <c r="D58" s="58"/>
      <c r="E58" s="58"/>
      <c r="F58" s="58"/>
      <c r="G58" s="58"/>
    </row>
    <row r="60" spans="1:11" ht="17" thickBot="1" x14ac:dyDescent="0.25">
      <c r="D60" s="144" t="s">
        <v>1293</v>
      </c>
      <c r="E60" s="230" t="s">
        <v>1292</v>
      </c>
      <c r="F60" s="230"/>
    </row>
    <row r="61" spans="1:11" x14ac:dyDescent="0.2">
      <c r="D61" s="12" t="s">
        <v>1294</v>
      </c>
      <c r="E61" s="230"/>
      <c r="F61" s="230"/>
    </row>
    <row r="63" spans="1:11" ht="17" thickBot="1" x14ac:dyDescent="0.25">
      <c r="B63" s="246">
        <f>31168*108.5/104</f>
        <v>32516.615384615383</v>
      </c>
      <c r="C63" s="230" t="s">
        <v>138</v>
      </c>
      <c r="D63" s="144">
        <v>108.5</v>
      </c>
      <c r="E63" s="230" t="s">
        <v>1295</v>
      </c>
      <c r="F63" s="230"/>
    </row>
    <row r="64" spans="1:11" x14ac:dyDescent="0.2">
      <c r="B64" s="246"/>
      <c r="C64" s="230"/>
      <c r="D64" s="12">
        <v>104</v>
      </c>
      <c r="E64" s="230"/>
      <c r="F64" s="230"/>
    </row>
    <row r="66" spans="1:9" x14ac:dyDescent="0.2">
      <c r="A66" s="2" t="s">
        <v>1296</v>
      </c>
    </row>
    <row r="67" spans="1:9" ht="17" thickBot="1" x14ac:dyDescent="0.25"/>
    <row r="68" spans="1:9" ht="17" thickBot="1" x14ac:dyDescent="0.25">
      <c r="A68" s="3" t="s">
        <v>1297</v>
      </c>
      <c r="B68" s="4"/>
      <c r="C68" s="4"/>
      <c r="D68" s="4"/>
      <c r="E68" s="4"/>
      <c r="F68" s="4"/>
      <c r="G68" s="4"/>
      <c r="H68" s="5"/>
    </row>
    <row r="69" spans="1:9" x14ac:dyDescent="0.2">
      <c r="B69" s="1" t="s">
        <v>1301</v>
      </c>
    </row>
    <row r="70" spans="1:9" x14ac:dyDescent="0.2">
      <c r="B70" s="1" t="s">
        <v>1298</v>
      </c>
    </row>
    <row r="71" spans="1:9" x14ac:dyDescent="0.2">
      <c r="B71" s="1" t="s">
        <v>1299</v>
      </c>
    </row>
    <row r="72" spans="1:9" x14ac:dyDescent="0.2">
      <c r="B72" s="1" t="s">
        <v>1300</v>
      </c>
    </row>
    <row r="73" spans="1:9" x14ac:dyDescent="0.2">
      <c r="B73" s="1" t="s">
        <v>1309</v>
      </c>
    </row>
    <row r="74" spans="1:9" x14ac:dyDescent="0.2">
      <c r="B74" s="1" t="s">
        <v>1308</v>
      </c>
    </row>
    <row r="76" spans="1:9" x14ac:dyDescent="0.2">
      <c r="A76" s="2" t="s">
        <v>1310</v>
      </c>
    </row>
    <row r="78" spans="1:9" x14ac:dyDescent="0.2">
      <c r="A78" s="58" t="s">
        <v>1290</v>
      </c>
      <c r="B78" s="58"/>
      <c r="C78" s="58"/>
      <c r="D78" s="58"/>
      <c r="E78" s="58"/>
      <c r="F78" s="58"/>
      <c r="G78" s="58"/>
    </row>
    <row r="80" spans="1:9" x14ac:dyDescent="0.2">
      <c r="D80" s="59"/>
      <c r="E80" s="58" t="s">
        <v>1194</v>
      </c>
      <c r="H80" s="59"/>
      <c r="I80" s="58" t="s">
        <v>177</v>
      </c>
    </row>
    <row r="81" spans="1:11" x14ac:dyDescent="0.2">
      <c r="A81" s="1" t="s">
        <v>1304</v>
      </c>
      <c r="D81" s="12">
        <v>12</v>
      </c>
      <c r="E81" s="1" t="s">
        <v>1195</v>
      </c>
      <c r="H81" s="12" t="s">
        <v>179</v>
      </c>
      <c r="I81" s="1" t="s">
        <v>178</v>
      </c>
    </row>
    <row r="82" spans="1:11" x14ac:dyDescent="0.2">
      <c r="A82" s="1" t="s">
        <v>1305</v>
      </c>
      <c r="D82" s="12">
        <v>12</v>
      </c>
      <c r="E82" s="1" t="s">
        <v>1196</v>
      </c>
      <c r="H82" s="12">
        <v>48</v>
      </c>
      <c r="I82" s="1" t="s">
        <v>45</v>
      </c>
      <c r="J82" s="1" t="s">
        <v>1302</v>
      </c>
    </row>
    <row r="83" spans="1:11" x14ac:dyDescent="0.2">
      <c r="D83" s="12"/>
      <c r="H83" s="107">
        <f>((1 + 3%)^(1/12) - 1) * 100</f>
        <v>0.24662697723036864</v>
      </c>
      <c r="I83" s="1" t="s">
        <v>42</v>
      </c>
      <c r="K83" s="107" t="s">
        <v>1303</v>
      </c>
    </row>
    <row r="84" spans="1:11" x14ac:dyDescent="0.2">
      <c r="D84" s="12"/>
      <c r="H84" s="12">
        <v>50000</v>
      </c>
      <c r="I84" s="1" t="s">
        <v>39</v>
      </c>
      <c r="J84" s="1" t="s">
        <v>1283</v>
      </c>
    </row>
    <row r="85" spans="1:11" x14ac:dyDescent="0.2">
      <c r="A85" s="1" t="s">
        <v>1289</v>
      </c>
      <c r="D85" s="110">
        <v>38048</v>
      </c>
      <c r="E85" s="1" t="s">
        <v>1200</v>
      </c>
      <c r="F85" s="1" t="s">
        <v>51</v>
      </c>
      <c r="H85" s="42">
        <f>PMT(H83/100,H82,H84,H86)</f>
        <v>-1105.8221158197584</v>
      </c>
      <c r="I85" s="1" t="s">
        <v>47</v>
      </c>
      <c r="J85" s="1" t="s">
        <v>51</v>
      </c>
    </row>
    <row r="86" spans="1:11" x14ac:dyDescent="0.2">
      <c r="A86" s="1" t="s">
        <v>1306</v>
      </c>
      <c r="H86" s="12">
        <v>0</v>
      </c>
      <c r="I86" s="1" t="s">
        <v>50</v>
      </c>
      <c r="J86" s="1" t="s">
        <v>1285</v>
      </c>
    </row>
    <row r="87" spans="1:11" x14ac:dyDescent="0.2">
      <c r="H87" s="12"/>
    </row>
    <row r="88" spans="1:11" x14ac:dyDescent="0.2">
      <c r="A88" s="58" t="s">
        <v>1291</v>
      </c>
      <c r="B88" s="58"/>
      <c r="C88" s="58"/>
      <c r="D88" s="58"/>
      <c r="E88" s="58"/>
      <c r="F88" s="58"/>
      <c r="G88" s="58"/>
    </row>
    <row r="90" spans="1:11" ht="17" thickBot="1" x14ac:dyDescent="0.25">
      <c r="D90" s="144" t="s">
        <v>1293</v>
      </c>
      <c r="E90" s="230" t="s">
        <v>1292</v>
      </c>
      <c r="F90" s="230"/>
    </row>
    <row r="91" spans="1:11" x14ac:dyDescent="0.2">
      <c r="D91" s="12" t="s">
        <v>1294</v>
      </c>
      <c r="E91" s="230"/>
      <c r="F91" s="230"/>
    </row>
    <row r="93" spans="1:11" ht="17" thickBot="1" x14ac:dyDescent="0.25">
      <c r="B93" s="246">
        <f>D85*106/102</f>
        <v>39540.078431372553</v>
      </c>
      <c r="C93" s="230" t="s">
        <v>138</v>
      </c>
      <c r="D93" s="144">
        <v>106</v>
      </c>
      <c r="E93" s="230" t="s">
        <v>1307</v>
      </c>
      <c r="F93" s="230"/>
    </row>
    <row r="94" spans="1:11" x14ac:dyDescent="0.2">
      <c r="B94" s="246"/>
      <c r="C94" s="230"/>
      <c r="D94" s="12">
        <v>102</v>
      </c>
      <c r="E94" s="230"/>
      <c r="F94" s="230"/>
    </row>
    <row r="96" spans="1:11" x14ac:dyDescent="0.2">
      <c r="A96" s="2" t="s">
        <v>1316</v>
      </c>
    </row>
    <row r="99" spans="1:11" x14ac:dyDescent="0.2">
      <c r="A99" s="2" t="s">
        <v>1311</v>
      </c>
    </row>
    <row r="100" spans="1:11" x14ac:dyDescent="0.2">
      <c r="A100" s="1" t="s">
        <v>1312</v>
      </c>
    </row>
    <row r="102" spans="1:11" x14ac:dyDescent="0.2">
      <c r="D102" s="59"/>
      <c r="E102" s="58" t="s">
        <v>1194</v>
      </c>
      <c r="H102" s="59"/>
      <c r="I102" s="58" t="s">
        <v>177</v>
      </c>
    </row>
    <row r="103" spans="1:11" x14ac:dyDescent="0.2">
      <c r="A103" s="1" t="s">
        <v>1304</v>
      </c>
      <c r="D103" s="12">
        <v>12</v>
      </c>
      <c r="E103" s="1" t="s">
        <v>1195</v>
      </c>
      <c r="H103" s="12" t="s">
        <v>179</v>
      </c>
      <c r="I103" s="1" t="s">
        <v>178</v>
      </c>
    </row>
    <row r="104" spans="1:11" x14ac:dyDescent="0.2">
      <c r="A104" s="1" t="s">
        <v>1305</v>
      </c>
      <c r="D104" s="12">
        <v>12</v>
      </c>
      <c r="E104" s="1" t="s">
        <v>1196</v>
      </c>
      <c r="H104" s="12">
        <v>48</v>
      </c>
      <c r="I104" s="1" t="s">
        <v>45</v>
      </c>
      <c r="J104" s="1" t="s">
        <v>1302</v>
      </c>
    </row>
    <row r="105" spans="1:11" x14ac:dyDescent="0.2">
      <c r="D105" s="12"/>
      <c r="H105" s="107">
        <f>((1 + 8%)^(1/12) - 1) * 100</f>
        <v>0.64340301100034303</v>
      </c>
      <c r="I105" s="1" t="s">
        <v>42</v>
      </c>
      <c r="K105" s="107" t="s">
        <v>1303</v>
      </c>
    </row>
    <row r="106" spans="1:11" x14ac:dyDescent="0.2">
      <c r="D106" s="12"/>
      <c r="H106" s="12">
        <v>50000</v>
      </c>
      <c r="I106" s="1" t="s">
        <v>39</v>
      </c>
      <c r="J106" s="1" t="s">
        <v>1283</v>
      </c>
    </row>
    <row r="107" spans="1:11" x14ac:dyDescent="0.2">
      <c r="A107" s="1" t="s">
        <v>1289</v>
      </c>
      <c r="D107" s="110">
        <v>38903.949999999997</v>
      </c>
      <c r="E107" s="1" t="s">
        <v>1200</v>
      </c>
      <c r="F107" s="1" t="s">
        <v>51</v>
      </c>
      <c r="H107" s="42">
        <f>PMT(H105/100,H104,H106,H108)</f>
        <v>-1214.1047166835956</v>
      </c>
      <c r="I107" s="1" t="s">
        <v>47</v>
      </c>
      <c r="J107" s="1" t="s">
        <v>51</v>
      </c>
    </row>
    <row r="108" spans="1:11" x14ac:dyDescent="0.2">
      <c r="A108" s="1" t="s">
        <v>1313</v>
      </c>
      <c r="H108" s="12">
        <v>0</v>
      </c>
      <c r="I108" s="1" t="s">
        <v>50</v>
      </c>
      <c r="J108" s="1" t="s">
        <v>1285</v>
      </c>
    </row>
    <row r="109" spans="1:11" x14ac:dyDescent="0.2">
      <c r="A109" s="1" t="s">
        <v>1314</v>
      </c>
    </row>
    <row r="111" spans="1:11" x14ac:dyDescent="0.2">
      <c r="A111" s="2" t="s">
        <v>1315</v>
      </c>
    </row>
    <row r="113" spans="1:8" ht="31" x14ac:dyDescent="0.35">
      <c r="A113" s="157" t="s">
        <v>1318</v>
      </c>
    </row>
    <row r="114" spans="1:8" ht="17" thickBot="1" x14ac:dyDescent="0.25"/>
    <row r="115" spans="1:8" ht="17" thickBot="1" x14ac:dyDescent="0.25">
      <c r="A115" s="3" t="s">
        <v>1319</v>
      </c>
      <c r="B115" s="4"/>
      <c r="C115" s="4"/>
      <c r="D115" s="4"/>
      <c r="E115" s="4"/>
      <c r="F115" s="4"/>
      <c r="G115" s="4"/>
      <c r="H115" s="5"/>
    </row>
    <row r="116" spans="1:8" x14ac:dyDescent="0.2">
      <c r="A116" s="1" t="s">
        <v>1320</v>
      </c>
    </row>
    <row r="117" spans="1:8" x14ac:dyDescent="0.2">
      <c r="A117" s="1" t="s">
        <v>1321</v>
      </c>
    </row>
    <row r="118" spans="1:8" x14ac:dyDescent="0.2">
      <c r="A118" s="1" t="s">
        <v>1322</v>
      </c>
    </row>
    <row r="119" spans="1:8" x14ac:dyDescent="0.2">
      <c r="A119" s="1" t="s">
        <v>1323</v>
      </c>
    </row>
    <row r="121" spans="1:8" x14ac:dyDescent="0.2">
      <c r="A121" s="1" t="s">
        <v>1324</v>
      </c>
    </row>
    <row r="122" spans="1:8" ht="17" thickBot="1" x14ac:dyDescent="0.25">
      <c r="C122" s="12"/>
      <c r="D122" s="144">
        <v>0</v>
      </c>
      <c r="E122" s="144">
        <v>1</v>
      </c>
      <c r="F122" s="144">
        <v>2</v>
      </c>
      <c r="G122" s="144">
        <v>3</v>
      </c>
    </row>
    <row r="123" spans="1:8" x14ac:dyDescent="0.2">
      <c r="C123" s="12" t="s">
        <v>1325</v>
      </c>
      <c r="D123" s="12">
        <v>-100</v>
      </c>
      <c r="E123" s="12">
        <v>40</v>
      </c>
      <c r="F123" s="12">
        <v>50</v>
      </c>
      <c r="G123" s="12">
        <v>30</v>
      </c>
    </row>
    <row r="125" spans="1:8" x14ac:dyDescent="0.2">
      <c r="A125" s="1" t="s">
        <v>1326</v>
      </c>
    </row>
    <row r="126" spans="1:8" ht="17" thickBot="1" x14ac:dyDescent="0.25"/>
    <row r="127" spans="1:8" ht="17" thickBot="1" x14ac:dyDescent="0.25">
      <c r="A127" s="3" t="s">
        <v>1327</v>
      </c>
      <c r="B127" s="4"/>
      <c r="C127" s="4"/>
      <c r="D127" s="4"/>
      <c r="E127" s="4"/>
      <c r="F127" s="4"/>
      <c r="G127" s="4"/>
      <c r="H127" s="5"/>
    </row>
    <row r="128" spans="1:8" x14ac:dyDescent="0.2">
      <c r="A128" s="1" t="s">
        <v>1328</v>
      </c>
    </row>
    <row r="129" spans="1:8" x14ac:dyDescent="0.2">
      <c r="A129" s="1" t="s">
        <v>1329</v>
      </c>
    </row>
    <row r="130" spans="1:8" ht="17" thickBot="1" x14ac:dyDescent="0.25"/>
    <row r="131" spans="1:8" ht="17" thickBot="1" x14ac:dyDescent="0.25">
      <c r="A131" s="3" t="s">
        <v>1330</v>
      </c>
      <c r="B131" s="4"/>
      <c r="C131" s="4"/>
      <c r="D131" s="4"/>
      <c r="E131" s="4"/>
      <c r="F131" s="4"/>
      <c r="G131" s="4"/>
      <c r="H131" s="5"/>
    </row>
    <row r="132" spans="1:8" x14ac:dyDescent="0.2">
      <c r="A132" s="1" t="s">
        <v>1331</v>
      </c>
    </row>
    <row r="133" spans="1:8" x14ac:dyDescent="0.2">
      <c r="A133" s="1" t="s">
        <v>1332</v>
      </c>
    </row>
    <row r="134" spans="1:8" x14ac:dyDescent="0.2">
      <c r="A134" s="1" t="s">
        <v>1336</v>
      </c>
    </row>
    <row r="136" spans="1:8" x14ac:dyDescent="0.2">
      <c r="C136" s="1" t="s">
        <v>1342</v>
      </c>
      <c r="D136" s="1" t="s">
        <v>1335</v>
      </c>
    </row>
    <row r="137" spans="1:8" x14ac:dyDescent="0.2">
      <c r="C137" s="1">
        <v>0</v>
      </c>
      <c r="D137" s="1">
        <v>-50</v>
      </c>
    </row>
    <row r="138" spans="1:8" x14ac:dyDescent="0.2">
      <c r="C138" s="1">
        <v>1</v>
      </c>
      <c r="D138" s="1">
        <v>0</v>
      </c>
    </row>
    <row r="139" spans="1:8" x14ac:dyDescent="0.2">
      <c r="C139" s="1">
        <v>2</v>
      </c>
      <c r="D139" s="1">
        <v>30</v>
      </c>
    </row>
    <row r="140" spans="1:8" x14ac:dyDescent="0.2">
      <c r="C140" s="1">
        <v>3</v>
      </c>
      <c r="D140" s="1">
        <v>25</v>
      </c>
    </row>
    <row r="141" spans="1:8" x14ac:dyDescent="0.2">
      <c r="C141" s="1">
        <v>4</v>
      </c>
      <c r="D141" s="1">
        <v>40</v>
      </c>
    </row>
    <row r="143" spans="1:8" x14ac:dyDescent="0.2">
      <c r="A143" s="1" t="s">
        <v>1333</v>
      </c>
    </row>
    <row r="145" spans="1:10" x14ac:dyDescent="0.2">
      <c r="A145" s="1" t="s">
        <v>1145</v>
      </c>
    </row>
    <row r="146" spans="1:10" x14ac:dyDescent="0.2">
      <c r="A146" s="1" t="s">
        <v>1334</v>
      </c>
    </row>
    <row r="148" spans="1:10" x14ac:dyDescent="0.2">
      <c r="A148" s="2" t="s">
        <v>27</v>
      </c>
    </row>
    <row r="149" spans="1:10" x14ac:dyDescent="0.2">
      <c r="I149" s="12" t="s">
        <v>1339</v>
      </c>
    </row>
    <row r="150" spans="1:10" x14ac:dyDescent="0.2">
      <c r="A150" s="1" t="s">
        <v>1337</v>
      </c>
      <c r="I150" s="12" t="s">
        <v>1340</v>
      </c>
    </row>
    <row r="151" spans="1:10" x14ac:dyDescent="0.2">
      <c r="I151" s="12" t="s">
        <v>1341</v>
      </c>
    </row>
    <row r="152" spans="1:10" x14ac:dyDescent="0.2">
      <c r="C152" s="1" t="s">
        <v>1342</v>
      </c>
      <c r="D152" s="1" t="s">
        <v>1335</v>
      </c>
      <c r="I152" s="32" t="s">
        <v>1338</v>
      </c>
    </row>
    <row r="153" spans="1:10" x14ac:dyDescent="0.2">
      <c r="C153" s="12">
        <v>0</v>
      </c>
      <c r="D153" s="12">
        <v>-50</v>
      </c>
      <c r="H153" s="12">
        <v>8</v>
      </c>
      <c r="I153" s="12" t="s">
        <v>42</v>
      </c>
      <c r="J153" s="1" t="s">
        <v>1374</v>
      </c>
    </row>
    <row r="154" spans="1:10" x14ac:dyDescent="0.2">
      <c r="C154" s="12">
        <v>1</v>
      </c>
      <c r="D154" s="12">
        <v>0</v>
      </c>
      <c r="F154" s="12" t="s">
        <v>1344</v>
      </c>
      <c r="I154" s="1" t="s">
        <v>1343</v>
      </c>
    </row>
    <row r="155" spans="1:10" x14ac:dyDescent="0.2">
      <c r="C155" s="12">
        <v>2</v>
      </c>
      <c r="D155" s="12">
        <v>30</v>
      </c>
      <c r="F155" s="158">
        <v>-50</v>
      </c>
      <c r="G155" s="12">
        <v>1</v>
      </c>
      <c r="H155" s="129" t="s">
        <v>1345</v>
      </c>
    </row>
    <row r="156" spans="1:10" x14ac:dyDescent="0.2">
      <c r="C156" s="12">
        <v>3</v>
      </c>
      <c r="D156" s="12">
        <v>25</v>
      </c>
      <c r="F156" s="158">
        <v>0</v>
      </c>
      <c r="G156" s="12">
        <v>2</v>
      </c>
      <c r="H156" s="129" t="s">
        <v>1346</v>
      </c>
    </row>
    <row r="157" spans="1:10" x14ac:dyDescent="0.2">
      <c r="C157" s="12">
        <v>4</v>
      </c>
      <c r="D157" s="12">
        <v>40</v>
      </c>
      <c r="F157" s="158">
        <v>30</v>
      </c>
      <c r="G157" s="12">
        <v>3</v>
      </c>
      <c r="H157" s="129" t="s">
        <v>1347</v>
      </c>
    </row>
    <row r="158" spans="1:10" x14ac:dyDescent="0.2">
      <c r="F158" s="158">
        <v>25</v>
      </c>
      <c r="G158" s="12">
        <v>4</v>
      </c>
      <c r="H158" s="129" t="s">
        <v>1348</v>
      </c>
    </row>
    <row r="159" spans="1:10" x14ac:dyDescent="0.2">
      <c r="F159" s="158">
        <v>40</v>
      </c>
      <c r="G159" s="12">
        <v>5</v>
      </c>
      <c r="H159" s="129" t="s">
        <v>1349</v>
      </c>
    </row>
    <row r="161" spans="3:10" x14ac:dyDescent="0.2">
      <c r="F161" s="1" t="s">
        <v>1350</v>
      </c>
      <c r="H161" s="16">
        <f>NPV(8%,F156:F159)+F155</f>
        <v>24.967164746415861</v>
      </c>
      <c r="I161" s="159" t="s">
        <v>1351</v>
      </c>
      <c r="J161" s="1" t="s">
        <v>1358</v>
      </c>
    </row>
    <row r="162" spans="3:10" x14ac:dyDescent="0.2">
      <c r="H162" s="36">
        <f>IRR(F155:F159)*100</f>
        <v>23.61368775864241</v>
      </c>
      <c r="I162" s="159" t="s">
        <v>1352</v>
      </c>
      <c r="J162" s="1" t="s">
        <v>1365</v>
      </c>
    </row>
    <row r="163" spans="3:10" x14ac:dyDescent="0.2">
      <c r="J163" s="1" t="s">
        <v>1366</v>
      </c>
    </row>
    <row r="164" spans="3:10" x14ac:dyDescent="0.2">
      <c r="C164" s="2" t="s">
        <v>1353</v>
      </c>
    </row>
    <row r="165" spans="3:10" x14ac:dyDescent="0.2">
      <c r="C165" s="1" t="s">
        <v>1354</v>
      </c>
    </row>
    <row r="166" spans="3:10" x14ac:dyDescent="0.2">
      <c r="C166" s="1" t="s">
        <v>1355</v>
      </c>
    </row>
    <row r="167" spans="3:10" x14ac:dyDescent="0.2">
      <c r="C167" s="1" t="s">
        <v>1356</v>
      </c>
    </row>
    <row r="168" spans="3:10" x14ac:dyDescent="0.2">
      <c r="C168" s="2" t="s">
        <v>1357</v>
      </c>
    </row>
    <row r="170" spans="3:10" x14ac:dyDescent="0.2">
      <c r="C170" s="1" t="s">
        <v>1359</v>
      </c>
    </row>
    <row r="171" spans="3:10" x14ac:dyDescent="0.2">
      <c r="C171" s="1" t="s">
        <v>1360</v>
      </c>
    </row>
    <row r="172" spans="3:10" x14ac:dyDescent="0.2">
      <c r="C172" s="1" t="s">
        <v>1361</v>
      </c>
    </row>
    <row r="173" spans="3:10" x14ac:dyDescent="0.2">
      <c r="C173" s="1" t="s">
        <v>1362</v>
      </c>
    </row>
    <row r="174" spans="3:10" x14ac:dyDescent="0.2">
      <c r="C174" s="1" t="s">
        <v>1363</v>
      </c>
    </row>
    <row r="175" spans="3:10" x14ac:dyDescent="0.2">
      <c r="C175" s="2" t="s">
        <v>1364</v>
      </c>
    </row>
    <row r="176" spans="3:10" ht="17" thickBot="1" x14ac:dyDescent="0.25"/>
    <row r="177" spans="1:10" ht="17" thickBot="1" x14ac:dyDescent="0.25">
      <c r="A177" s="3" t="s">
        <v>1367</v>
      </c>
      <c r="B177" s="4"/>
      <c r="C177" s="4"/>
      <c r="D177" s="4"/>
      <c r="E177" s="4"/>
      <c r="F177" s="4"/>
      <c r="G177" s="4"/>
      <c r="H177" s="5"/>
    </row>
    <row r="178" spans="1:10" x14ac:dyDescent="0.2">
      <c r="A178" s="1" t="s">
        <v>1368</v>
      </c>
    </row>
    <row r="179" spans="1:10" x14ac:dyDescent="0.2">
      <c r="A179" s="1" t="s">
        <v>1369</v>
      </c>
    </row>
    <row r="180" spans="1:10" x14ac:dyDescent="0.2">
      <c r="A180" s="1" t="s">
        <v>1370</v>
      </c>
    </row>
    <row r="181" spans="1:10" x14ac:dyDescent="0.2">
      <c r="A181" s="1" t="s">
        <v>1371</v>
      </c>
    </row>
    <row r="183" spans="1:10" x14ac:dyDescent="0.2">
      <c r="A183" s="1" t="s">
        <v>1373</v>
      </c>
    </row>
    <row r="185" spans="1:10" x14ac:dyDescent="0.2">
      <c r="A185" s="1" t="s">
        <v>1372</v>
      </c>
    </row>
    <row r="187" spans="1:10" x14ac:dyDescent="0.2">
      <c r="I187" s="12" t="s">
        <v>1339</v>
      </c>
    </row>
    <row r="188" spans="1:10" x14ac:dyDescent="0.2">
      <c r="A188" s="1" t="s">
        <v>1337</v>
      </c>
      <c r="I188" s="12" t="s">
        <v>1340</v>
      </c>
    </row>
    <row r="189" spans="1:10" x14ac:dyDescent="0.2">
      <c r="I189" s="12" t="s">
        <v>1341</v>
      </c>
    </row>
    <row r="190" spans="1:10" x14ac:dyDescent="0.2">
      <c r="C190" s="1" t="s">
        <v>1342</v>
      </c>
      <c r="D190" s="1" t="s">
        <v>1335</v>
      </c>
      <c r="I190" s="32" t="s">
        <v>1338</v>
      </c>
    </row>
    <row r="191" spans="1:10" x14ac:dyDescent="0.2">
      <c r="C191" s="12">
        <v>0</v>
      </c>
      <c r="D191" s="12">
        <v>-2</v>
      </c>
      <c r="H191" s="12">
        <v>7</v>
      </c>
      <c r="I191" s="12" t="s">
        <v>42</v>
      </c>
      <c r="J191" s="1" t="s">
        <v>1374</v>
      </c>
    </row>
    <row r="192" spans="1:10" x14ac:dyDescent="0.2">
      <c r="C192" s="12">
        <v>1</v>
      </c>
      <c r="D192" s="12">
        <v>0.5</v>
      </c>
      <c r="F192" s="12" t="s">
        <v>1344</v>
      </c>
      <c r="I192" s="1" t="s">
        <v>1343</v>
      </c>
    </row>
    <row r="193" spans="1:9" x14ac:dyDescent="0.2">
      <c r="C193" s="12">
        <v>2</v>
      </c>
      <c r="D193" s="12">
        <v>0.5</v>
      </c>
      <c r="F193" s="158">
        <v>-2</v>
      </c>
      <c r="G193" s="12">
        <v>1</v>
      </c>
      <c r="H193" s="129" t="s">
        <v>1345</v>
      </c>
    </row>
    <row r="194" spans="1:9" x14ac:dyDescent="0.2">
      <c r="C194" s="12">
        <v>3</v>
      </c>
      <c r="D194" s="12">
        <v>0.5</v>
      </c>
      <c r="F194" s="158">
        <v>0.5</v>
      </c>
      <c r="G194" s="12">
        <v>2</v>
      </c>
      <c r="H194" s="129" t="s">
        <v>1346</v>
      </c>
    </row>
    <row r="195" spans="1:9" x14ac:dyDescent="0.2">
      <c r="C195" s="12">
        <v>4</v>
      </c>
      <c r="D195" s="12">
        <v>0.8</v>
      </c>
      <c r="F195" s="158">
        <v>0.5</v>
      </c>
      <c r="G195" s="12">
        <v>3</v>
      </c>
      <c r="H195" s="129" t="s">
        <v>1347</v>
      </c>
    </row>
    <row r="196" spans="1:9" x14ac:dyDescent="0.2">
      <c r="C196" s="12">
        <v>5</v>
      </c>
      <c r="D196" s="12">
        <v>0.8</v>
      </c>
      <c r="F196" s="158">
        <v>0.5</v>
      </c>
      <c r="G196" s="12">
        <v>4</v>
      </c>
      <c r="H196" s="129" t="s">
        <v>1348</v>
      </c>
    </row>
    <row r="197" spans="1:9" x14ac:dyDescent="0.2">
      <c r="F197" s="158">
        <v>0.8</v>
      </c>
      <c r="G197" s="12">
        <v>5</v>
      </c>
      <c r="H197" s="129" t="s">
        <v>1349</v>
      </c>
    </row>
    <row r="198" spans="1:9" x14ac:dyDescent="0.2">
      <c r="F198" s="158">
        <v>0.8</v>
      </c>
      <c r="G198" s="12">
        <v>6</v>
      </c>
      <c r="H198" s="129"/>
    </row>
    <row r="200" spans="1:9" x14ac:dyDescent="0.2">
      <c r="F200" s="1" t="s">
        <v>1350</v>
      </c>
      <c r="H200" s="160">
        <f>NPV(7%,F194:F198)+F193</f>
        <v>0.49286313543315519</v>
      </c>
      <c r="I200" s="159" t="s">
        <v>1351</v>
      </c>
    </row>
    <row r="201" spans="1:9" x14ac:dyDescent="0.2">
      <c r="H201" s="42">
        <f>IRR(F193:F198)*100</f>
        <v>14.937866205536409</v>
      </c>
      <c r="I201" s="159" t="s">
        <v>1352</v>
      </c>
    </row>
    <row r="203" spans="1:9" x14ac:dyDescent="0.2">
      <c r="A203" s="1" t="s">
        <v>1375</v>
      </c>
    </row>
    <row r="204" spans="1:9" x14ac:dyDescent="0.2">
      <c r="A204" s="1" t="s">
        <v>1376</v>
      </c>
    </row>
    <row r="205" spans="1:9" x14ac:dyDescent="0.2">
      <c r="A205" s="1" t="s">
        <v>1377</v>
      </c>
    </row>
    <row r="206" spans="1:9" x14ac:dyDescent="0.2">
      <c r="A206" s="1" t="s">
        <v>1378</v>
      </c>
    </row>
    <row r="207" spans="1:9" x14ac:dyDescent="0.2">
      <c r="A207" s="1" t="s">
        <v>1379</v>
      </c>
    </row>
    <row r="210" spans="1:9" x14ac:dyDescent="0.2">
      <c r="A210" s="1" t="s">
        <v>1380</v>
      </c>
    </row>
    <row r="211" spans="1:9" x14ac:dyDescent="0.2">
      <c r="A211" s="2" t="s">
        <v>1382</v>
      </c>
    </row>
    <row r="212" spans="1:9" x14ac:dyDescent="0.2">
      <c r="A212" s="1" t="s">
        <v>1383</v>
      </c>
    </row>
    <row r="213" spans="1:9" x14ac:dyDescent="0.2">
      <c r="A213" s="1" t="s">
        <v>1381</v>
      </c>
    </row>
    <row r="215" spans="1:9" x14ac:dyDescent="0.2">
      <c r="A215" s="2" t="s">
        <v>1384</v>
      </c>
    </row>
    <row r="216" spans="1:9" x14ac:dyDescent="0.2">
      <c r="A216" s="1" t="s">
        <v>1385</v>
      </c>
    </row>
    <row r="218" spans="1:9" x14ac:dyDescent="0.2">
      <c r="A218" s="75" t="s">
        <v>1386</v>
      </c>
      <c r="B218" s="29"/>
    </row>
    <row r="219" spans="1:9" x14ac:dyDescent="0.2">
      <c r="A219" s="1" t="s">
        <v>1387</v>
      </c>
      <c r="I219" s="153">
        <v>7.0000000000000007E-2</v>
      </c>
    </row>
    <row r="221" spans="1:9" x14ac:dyDescent="0.2">
      <c r="A221" s="2" t="s">
        <v>1388</v>
      </c>
    </row>
    <row r="222" spans="1:9" x14ac:dyDescent="0.2">
      <c r="A222" s="1" t="s">
        <v>1389</v>
      </c>
    </row>
    <row r="223" spans="1:9" x14ac:dyDescent="0.2">
      <c r="A223" s="1" t="s">
        <v>1390</v>
      </c>
    </row>
  </sheetData>
  <mergeCells count="8">
    <mergeCell ref="B93:B94"/>
    <mergeCell ref="C93:C94"/>
    <mergeCell ref="E93:F94"/>
    <mergeCell ref="E60:F61"/>
    <mergeCell ref="E63:F64"/>
    <mergeCell ref="C63:C64"/>
    <mergeCell ref="B63:B64"/>
    <mergeCell ref="E90:F9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21EE0C-B113-DC4B-B47E-428DF39D9955}">
  <dimension ref="A1:K190"/>
  <sheetViews>
    <sheetView rightToLeft="1" topLeftCell="A165" zoomScale="242" zoomScaleNormal="330" workbookViewId="0">
      <selection activeCell="E156" sqref="E156"/>
    </sheetView>
  </sheetViews>
  <sheetFormatPr baseColWidth="10" defaultRowHeight="16" x14ac:dyDescent="0.2"/>
  <cols>
    <col min="1" max="16384" width="10.83203125" style="1"/>
  </cols>
  <sheetData>
    <row r="1" spans="1:10" x14ac:dyDescent="0.2">
      <c r="A1" s="75" t="s">
        <v>1391</v>
      </c>
      <c r="B1" s="75"/>
      <c r="C1" s="75"/>
      <c r="D1" s="75"/>
      <c r="E1" s="75"/>
      <c r="F1" s="75"/>
      <c r="G1" s="75"/>
      <c r="H1" s="76">
        <v>45669</v>
      </c>
    </row>
    <row r="2" spans="1:10" ht="17" thickBot="1" x14ac:dyDescent="0.25"/>
    <row r="3" spans="1:10" ht="17" thickBot="1" x14ac:dyDescent="0.25">
      <c r="A3" s="3" t="s">
        <v>1392</v>
      </c>
      <c r="B3" s="6"/>
      <c r="C3" s="6"/>
      <c r="D3" s="6"/>
      <c r="E3" s="6"/>
      <c r="F3" s="6"/>
      <c r="G3" s="6"/>
      <c r="H3" s="7"/>
    </row>
    <row r="4" spans="1:10" x14ac:dyDescent="0.2">
      <c r="A4" s="1" t="s">
        <v>1393</v>
      </c>
    </row>
    <row r="5" spans="1:10" x14ac:dyDescent="0.2">
      <c r="A5" s="1" t="s">
        <v>1394</v>
      </c>
    </row>
    <row r="6" spans="1:10" ht="17" thickBot="1" x14ac:dyDescent="0.25"/>
    <row r="7" spans="1:10" x14ac:dyDescent="0.2">
      <c r="A7" s="21" t="s">
        <v>1395</v>
      </c>
      <c r="B7" s="31"/>
      <c r="C7" s="31"/>
      <c r="D7" s="31"/>
      <c r="E7" s="31"/>
      <c r="F7" s="31"/>
      <c r="G7" s="31"/>
      <c r="H7" s="23"/>
    </row>
    <row r="8" spans="1:10" x14ac:dyDescent="0.2">
      <c r="A8" s="24"/>
      <c r="B8" s="1" t="s">
        <v>1396</v>
      </c>
      <c r="C8" s="1" t="s">
        <v>1397</v>
      </c>
      <c r="H8" s="25"/>
    </row>
    <row r="9" spans="1:10" x14ac:dyDescent="0.2">
      <c r="A9" s="24"/>
      <c r="B9" s="1" t="s">
        <v>1398</v>
      </c>
      <c r="C9" s="1" t="s">
        <v>1400</v>
      </c>
      <c r="H9" s="25"/>
    </row>
    <row r="10" spans="1:10" x14ac:dyDescent="0.2">
      <c r="A10" s="24"/>
      <c r="C10" s="1" t="s">
        <v>1399</v>
      </c>
      <c r="H10" s="25"/>
    </row>
    <row r="11" spans="1:10" x14ac:dyDescent="0.2">
      <c r="A11" s="24"/>
      <c r="B11" s="1" t="s">
        <v>1401</v>
      </c>
      <c r="C11" s="1" t="s">
        <v>1402</v>
      </c>
      <c r="H11" s="25"/>
    </row>
    <row r="12" spans="1:10" x14ac:dyDescent="0.2">
      <c r="A12" s="24"/>
      <c r="C12" s="1" t="s">
        <v>1403</v>
      </c>
      <c r="H12" s="25"/>
    </row>
    <row r="13" spans="1:10" x14ac:dyDescent="0.2">
      <c r="A13" s="24"/>
      <c r="B13" s="1" t="s">
        <v>1404</v>
      </c>
      <c r="C13" s="1" t="s">
        <v>1405</v>
      </c>
      <c r="H13" s="25"/>
    </row>
    <row r="14" spans="1:10" ht="17" thickBot="1" x14ac:dyDescent="0.25">
      <c r="A14" s="26"/>
      <c r="B14" s="27" t="s">
        <v>1406</v>
      </c>
      <c r="C14" s="27" t="s">
        <v>1407</v>
      </c>
      <c r="D14" s="27"/>
      <c r="E14" s="27"/>
      <c r="F14" s="27"/>
      <c r="G14" s="27"/>
      <c r="H14" s="28"/>
    </row>
    <row r="15" spans="1:10" ht="17" thickBot="1" x14ac:dyDescent="0.25">
      <c r="J15" s="1" t="s">
        <v>1472</v>
      </c>
    </row>
    <row r="16" spans="1:10" x14ac:dyDescent="0.2">
      <c r="A16" s="21" t="s">
        <v>1408</v>
      </c>
      <c r="B16" s="31"/>
      <c r="C16" s="31"/>
      <c r="D16" s="31"/>
      <c r="E16" s="31"/>
      <c r="F16" s="31"/>
      <c r="G16" s="31"/>
      <c r="H16" s="23"/>
    </row>
    <row r="17" spans="1:8" x14ac:dyDescent="0.2">
      <c r="A17" s="24"/>
      <c r="B17" s="1" t="s">
        <v>1409</v>
      </c>
      <c r="H17" s="25"/>
    </row>
    <row r="18" spans="1:8" x14ac:dyDescent="0.2">
      <c r="A18" s="24"/>
      <c r="B18" s="1" t="s">
        <v>1410</v>
      </c>
      <c r="H18" s="25"/>
    </row>
    <row r="19" spans="1:8" ht="17" thickBot="1" x14ac:dyDescent="0.25">
      <c r="A19" s="26"/>
      <c r="B19" s="27" t="s">
        <v>1411</v>
      </c>
      <c r="C19" s="27"/>
      <c r="D19" s="27"/>
      <c r="E19" s="27"/>
      <c r="F19" s="27"/>
      <c r="G19" s="27"/>
      <c r="H19" s="28"/>
    </row>
    <row r="20" spans="1:8" ht="17" thickBot="1" x14ac:dyDescent="0.25"/>
    <row r="21" spans="1:8" x14ac:dyDescent="0.2">
      <c r="A21" s="21" t="s">
        <v>1412</v>
      </c>
      <c r="B21" s="31"/>
      <c r="C21" s="31"/>
      <c r="D21" s="31"/>
      <c r="E21" s="31"/>
      <c r="F21" s="31"/>
      <c r="G21" s="31"/>
      <c r="H21" s="23"/>
    </row>
    <row r="22" spans="1:8" x14ac:dyDescent="0.2">
      <c r="A22" s="24" t="s">
        <v>1413</v>
      </c>
      <c r="H22" s="25"/>
    </row>
    <row r="23" spans="1:8" x14ac:dyDescent="0.2">
      <c r="A23" s="24" t="s">
        <v>1414</v>
      </c>
      <c r="H23" s="25"/>
    </row>
    <row r="24" spans="1:8" x14ac:dyDescent="0.2">
      <c r="A24" s="24" t="s">
        <v>1415</v>
      </c>
      <c r="H24" s="25"/>
    </row>
    <row r="25" spans="1:8" x14ac:dyDescent="0.2">
      <c r="A25" s="24" t="s">
        <v>1416</v>
      </c>
      <c r="H25" s="25"/>
    </row>
    <row r="26" spans="1:8" x14ac:dyDescent="0.2">
      <c r="A26" s="24" t="s">
        <v>1417</v>
      </c>
      <c r="H26" s="25"/>
    </row>
    <row r="27" spans="1:8" x14ac:dyDescent="0.2">
      <c r="A27" s="24" t="s">
        <v>1418</v>
      </c>
      <c r="H27" s="25"/>
    </row>
    <row r="28" spans="1:8" x14ac:dyDescent="0.2">
      <c r="A28" s="24" t="s">
        <v>1419</v>
      </c>
      <c r="H28" s="25"/>
    </row>
    <row r="29" spans="1:8" ht="17" thickBot="1" x14ac:dyDescent="0.25">
      <c r="A29" s="26" t="s">
        <v>1420</v>
      </c>
      <c r="B29" s="27"/>
      <c r="C29" s="27"/>
      <c r="D29" s="27"/>
      <c r="E29" s="27"/>
      <c r="F29" s="27"/>
      <c r="G29" s="27"/>
      <c r="H29" s="28"/>
    </row>
    <row r="31" spans="1:8" x14ac:dyDescent="0.2">
      <c r="A31" s="2" t="s">
        <v>1421</v>
      </c>
    </row>
    <row r="33" spans="1:11" ht="17" thickBot="1" x14ac:dyDescent="0.25">
      <c r="A33" s="161" t="s">
        <v>1422</v>
      </c>
      <c r="B33" s="161"/>
      <c r="C33" s="162" t="s">
        <v>1423</v>
      </c>
      <c r="D33" s="161" t="s">
        <v>1424</v>
      </c>
      <c r="E33" s="161"/>
      <c r="F33" s="161"/>
      <c r="G33" s="161"/>
      <c r="H33" s="161"/>
      <c r="I33" s="2" t="s">
        <v>1463</v>
      </c>
      <c r="J33" s="2"/>
      <c r="K33" s="2" t="s">
        <v>1470</v>
      </c>
    </row>
    <row r="34" spans="1:11" x14ac:dyDescent="0.2">
      <c r="A34" s="163" t="s">
        <v>1426</v>
      </c>
      <c r="B34" s="163"/>
      <c r="C34" s="164" t="s">
        <v>1471</v>
      </c>
      <c r="D34" s="163" t="s">
        <v>1425</v>
      </c>
      <c r="E34" s="163"/>
      <c r="F34" s="163"/>
      <c r="G34" s="163"/>
      <c r="H34" s="163"/>
      <c r="I34" s="259" t="s">
        <v>1464</v>
      </c>
      <c r="J34" s="260"/>
      <c r="K34" s="255" t="s">
        <v>1469</v>
      </c>
    </row>
    <row r="35" spans="1:11" x14ac:dyDescent="0.2">
      <c r="A35" s="163"/>
      <c r="B35" s="163"/>
      <c r="C35" s="165"/>
      <c r="D35" s="163" t="s">
        <v>1427</v>
      </c>
      <c r="E35" s="163"/>
      <c r="F35" s="163"/>
      <c r="G35" s="163"/>
      <c r="H35" s="163"/>
      <c r="I35" s="261"/>
      <c r="J35" s="262"/>
      <c r="K35" s="256"/>
    </row>
    <row r="36" spans="1:11" x14ac:dyDescent="0.2">
      <c r="A36" s="163"/>
      <c r="B36" s="163"/>
      <c r="C36" s="165"/>
      <c r="D36" s="163" t="s">
        <v>1428</v>
      </c>
      <c r="E36" s="163"/>
      <c r="F36" s="163"/>
      <c r="G36" s="163"/>
      <c r="H36" s="163"/>
      <c r="I36" s="261"/>
      <c r="J36" s="262"/>
      <c r="K36" s="256"/>
    </row>
    <row r="37" spans="1:11" x14ac:dyDescent="0.2">
      <c r="A37" s="163"/>
      <c r="B37" s="163"/>
      <c r="C37" s="165"/>
      <c r="D37" s="163" t="s">
        <v>1429</v>
      </c>
      <c r="E37" s="163"/>
      <c r="F37" s="163"/>
      <c r="G37" s="163"/>
      <c r="H37" s="163"/>
      <c r="I37" s="261"/>
      <c r="J37" s="262"/>
      <c r="K37" s="256"/>
    </row>
    <row r="38" spans="1:11" x14ac:dyDescent="0.2">
      <c r="A38" s="163"/>
      <c r="B38" s="163"/>
      <c r="C38" s="165"/>
      <c r="D38" s="163" t="s">
        <v>1430</v>
      </c>
      <c r="E38" s="163"/>
      <c r="F38" s="163"/>
      <c r="G38" s="163"/>
      <c r="H38" s="163"/>
      <c r="I38" s="261"/>
      <c r="J38" s="262"/>
      <c r="K38" s="256"/>
    </row>
    <row r="39" spans="1:11" x14ac:dyDescent="0.2">
      <c r="A39" s="163"/>
      <c r="B39" s="163"/>
      <c r="C39" s="165"/>
      <c r="D39" s="163" t="s">
        <v>1431</v>
      </c>
      <c r="E39" s="163"/>
      <c r="F39" s="163"/>
      <c r="G39" s="163"/>
      <c r="H39" s="163"/>
      <c r="I39" s="261"/>
      <c r="J39" s="262"/>
      <c r="K39" s="256"/>
    </row>
    <row r="40" spans="1:11" x14ac:dyDescent="0.2">
      <c r="A40" s="163"/>
      <c r="B40" s="163"/>
      <c r="C40" s="165"/>
      <c r="D40" s="163" t="s">
        <v>1432</v>
      </c>
      <c r="E40" s="163"/>
      <c r="F40" s="163"/>
      <c r="G40" s="163"/>
      <c r="H40" s="163"/>
      <c r="I40" s="261"/>
      <c r="J40" s="262"/>
      <c r="K40" s="256"/>
    </row>
    <row r="41" spans="1:11" ht="17" thickBot="1" x14ac:dyDescent="0.25">
      <c r="A41" s="163"/>
      <c r="B41" s="163"/>
      <c r="C41" s="165"/>
      <c r="D41" s="163" t="s">
        <v>1433</v>
      </c>
      <c r="E41" s="163"/>
      <c r="F41" s="163"/>
      <c r="G41" s="163"/>
      <c r="H41" s="163"/>
      <c r="I41" s="263"/>
      <c r="J41" s="264"/>
      <c r="K41" s="256"/>
    </row>
    <row r="42" spans="1:11" x14ac:dyDescent="0.2">
      <c r="A42" s="166" t="s">
        <v>1434</v>
      </c>
      <c r="B42" s="166"/>
      <c r="C42" s="167" t="s">
        <v>1442</v>
      </c>
      <c r="D42" s="166" t="s">
        <v>1435</v>
      </c>
      <c r="E42" s="166"/>
      <c r="F42" s="166"/>
      <c r="G42" s="166"/>
      <c r="H42" s="166"/>
      <c r="I42" s="265" t="s">
        <v>1465</v>
      </c>
      <c r="J42" s="266"/>
      <c r="K42" s="256"/>
    </row>
    <row r="43" spans="1:11" x14ac:dyDescent="0.2">
      <c r="A43" s="166"/>
      <c r="B43" s="166"/>
      <c r="C43" s="168"/>
      <c r="D43" s="166" t="s">
        <v>1436</v>
      </c>
      <c r="E43" s="166"/>
      <c r="F43" s="166"/>
      <c r="G43" s="166"/>
      <c r="H43" s="166"/>
      <c r="I43" s="267"/>
      <c r="J43" s="268"/>
      <c r="K43" s="256"/>
    </row>
    <row r="44" spans="1:11" x14ac:dyDescent="0.2">
      <c r="A44" s="166"/>
      <c r="B44" s="166"/>
      <c r="C44" s="168"/>
      <c r="D44" s="166" t="s">
        <v>1437</v>
      </c>
      <c r="E44" s="166"/>
      <c r="F44" s="166"/>
      <c r="G44" s="166"/>
      <c r="H44" s="166"/>
      <c r="I44" s="267"/>
      <c r="J44" s="268"/>
      <c r="K44" s="256"/>
    </row>
    <row r="45" spans="1:11" x14ac:dyDescent="0.2">
      <c r="A45" s="166"/>
      <c r="B45" s="166"/>
      <c r="C45" s="168"/>
      <c r="D45" s="166" t="s">
        <v>1438</v>
      </c>
      <c r="E45" s="166"/>
      <c r="F45" s="166"/>
      <c r="G45" s="166"/>
      <c r="H45" s="166"/>
      <c r="I45" s="267"/>
      <c r="J45" s="268"/>
      <c r="K45" s="256"/>
    </row>
    <row r="46" spans="1:11" x14ac:dyDescent="0.2">
      <c r="A46" s="166"/>
      <c r="B46" s="166"/>
      <c r="C46" s="168"/>
      <c r="D46" s="166" t="s">
        <v>1440</v>
      </c>
      <c r="E46" s="166"/>
      <c r="F46" s="166"/>
      <c r="G46" s="166"/>
      <c r="H46" s="166"/>
      <c r="I46" s="267"/>
      <c r="J46" s="268"/>
      <c r="K46" s="256"/>
    </row>
    <row r="47" spans="1:11" ht="17" thickBot="1" x14ac:dyDescent="0.25">
      <c r="A47" s="166"/>
      <c r="B47" s="166"/>
      <c r="C47" s="168"/>
      <c r="D47" s="166" t="s">
        <v>1439</v>
      </c>
      <c r="E47" s="166"/>
      <c r="F47" s="166"/>
      <c r="G47" s="166"/>
      <c r="H47" s="166"/>
      <c r="I47" s="269"/>
      <c r="J47" s="270"/>
      <c r="K47" s="256"/>
    </row>
    <row r="48" spans="1:11" ht="16" customHeight="1" x14ac:dyDescent="0.2">
      <c r="A48" s="169" t="s">
        <v>1441</v>
      </c>
      <c r="B48" s="169"/>
      <c r="C48" s="170" t="s">
        <v>1462</v>
      </c>
      <c r="D48" s="169" t="s">
        <v>1443</v>
      </c>
      <c r="E48" s="169"/>
      <c r="F48" s="169"/>
      <c r="G48" s="169"/>
      <c r="H48" s="169"/>
      <c r="I48" s="271" t="s">
        <v>1466</v>
      </c>
      <c r="J48" s="272"/>
      <c r="K48" s="256"/>
    </row>
    <row r="49" spans="1:11" x14ac:dyDescent="0.2">
      <c r="A49" s="169"/>
      <c r="B49" s="169"/>
      <c r="C49" s="170"/>
      <c r="D49" s="169" t="s">
        <v>1444</v>
      </c>
      <c r="E49" s="169"/>
      <c r="F49" s="169"/>
      <c r="G49" s="169"/>
      <c r="H49" s="169"/>
      <c r="I49" s="273"/>
      <c r="J49" s="274"/>
      <c r="K49" s="256"/>
    </row>
    <row r="50" spans="1:11" x14ac:dyDescent="0.2">
      <c r="A50" s="169"/>
      <c r="B50" s="169"/>
      <c r="C50" s="170"/>
      <c r="D50" s="169" t="s">
        <v>1445</v>
      </c>
      <c r="E50" s="169"/>
      <c r="F50" s="169"/>
      <c r="G50" s="169"/>
      <c r="H50" s="169"/>
      <c r="I50" s="273"/>
      <c r="J50" s="274"/>
      <c r="K50" s="256"/>
    </row>
    <row r="51" spans="1:11" x14ac:dyDescent="0.2">
      <c r="A51" s="169"/>
      <c r="B51" s="169"/>
      <c r="C51" s="170"/>
      <c r="D51" s="169" t="s">
        <v>1446</v>
      </c>
      <c r="E51" s="169"/>
      <c r="F51" s="169"/>
      <c r="G51" s="169"/>
      <c r="H51" s="169"/>
      <c r="I51" s="273"/>
      <c r="J51" s="274"/>
      <c r="K51" s="256"/>
    </row>
    <row r="52" spans="1:11" x14ac:dyDescent="0.2">
      <c r="A52" s="169"/>
      <c r="B52" s="169"/>
      <c r="C52" s="170"/>
      <c r="D52" s="169" t="s">
        <v>1447</v>
      </c>
      <c r="E52" s="169"/>
      <c r="F52" s="169"/>
      <c r="G52" s="169"/>
      <c r="H52" s="169"/>
      <c r="I52" s="273"/>
      <c r="J52" s="274"/>
      <c r="K52" s="256"/>
    </row>
    <row r="53" spans="1:11" ht="17" thickBot="1" x14ac:dyDescent="0.25">
      <c r="A53" s="169"/>
      <c r="B53" s="169"/>
      <c r="C53" s="170"/>
      <c r="D53" s="169" t="s">
        <v>1448</v>
      </c>
      <c r="E53" s="169"/>
      <c r="F53" s="169"/>
      <c r="G53" s="169"/>
      <c r="H53" s="169"/>
      <c r="I53" s="275"/>
      <c r="J53" s="276"/>
      <c r="K53" s="256"/>
    </row>
    <row r="54" spans="1:11" ht="17" thickBot="1" x14ac:dyDescent="0.25">
      <c r="A54" s="171" t="s">
        <v>1449</v>
      </c>
      <c r="B54" s="171"/>
      <c r="C54" s="172">
        <v>8</v>
      </c>
      <c r="D54" s="171" t="s">
        <v>1450</v>
      </c>
      <c r="E54" s="171"/>
      <c r="F54" s="171"/>
      <c r="G54" s="171"/>
      <c r="H54" s="171"/>
      <c r="I54" s="277" t="s">
        <v>1467</v>
      </c>
      <c r="J54" s="278"/>
      <c r="K54" s="256"/>
    </row>
    <row r="55" spans="1:11" x14ac:dyDescent="0.2">
      <c r="A55" s="173"/>
      <c r="B55" s="173"/>
      <c r="C55" s="174"/>
      <c r="D55" s="173" t="s">
        <v>1451</v>
      </c>
      <c r="E55" s="173"/>
      <c r="F55" s="173"/>
      <c r="G55" s="173"/>
      <c r="H55" s="173"/>
      <c r="I55" s="279" t="s">
        <v>1468</v>
      </c>
      <c r="J55" s="280"/>
      <c r="K55" s="256"/>
    </row>
    <row r="56" spans="1:11" x14ac:dyDescent="0.2">
      <c r="A56" s="173" t="s">
        <v>1455</v>
      </c>
      <c r="B56" s="173"/>
      <c r="C56" s="174">
        <v>9</v>
      </c>
      <c r="D56" s="173" t="s">
        <v>1452</v>
      </c>
      <c r="E56" s="173"/>
      <c r="F56" s="173"/>
      <c r="G56" s="173"/>
      <c r="H56" s="173"/>
      <c r="I56" s="281"/>
      <c r="J56" s="282"/>
      <c r="K56" s="256"/>
    </row>
    <row r="57" spans="1:11" x14ac:dyDescent="0.2">
      <c r="A57" s="173"/>
      <c r="B57" s="173"/>
      <c r="C57" s="174"/>
      <c r="D57" s="173" t="s">
        <v>1453</v>
      </c>
      <c r="E57" s="173"/>
      <c r="F57" s="173"/>
      <c r="G57" s="173"/>
      <c r="H57" s="173"/>
      <c r="I57" s="281"/>
      <c r="J57" s="282"/>
      <c r="K57" s="256"/>
    </row>
    <row r="58" spans="1:11" ht="17" thickBot="1" x14ac:dyDescent="0.25">
      <c r="A58" s="173"/>
      <c r="B58" s="173"/>
      <c r="C58" s="174"/>
      <c r="D58" s="173" t="s">
        <v>1454</v>
      </c>
      <c r="E58" s="173"/>
      <c r="F58" s="173"/>
      <c r="G58" s="173"/>
      <c r="H58" s="173"/>
      <c r="I58" s="283"/>
      <c r="J58" s="284"/>
      <c r="K58" s="256"/>
    </row>
    <row r="59" spans="1:11" x14ac:dyDescent="0.2">
      <c r="A59" s="175" t="s">
        <v>1456</v>
      </c>
      <c r="B59" s="175"/>
      <c r="C59" s="176">
        <v>10</v>
      </c>
      <c r="D59" s="175" t="s">
        <v>1457</v>
      </c>
      <c r="E59" s="175"/>
      <c r="F59" s="175"/>
      <c r="G59" s="175"/>
      <c r="H59" s="175"/>
      <c r="I59" s="247" t="s">
        <v>1467</v>
      </c>
      <c r="J59" s="248"/>
      <c r="K59" s="256"/>
    </row>
    <row r="60" spans="1:11" ht="17" thickBot="1" x14ac:dyDescent="0.25">
      <c r="A60" s="175"/>
      <c r="B60" s="175"/>
      <c r="C60" s="176"/>
      <c r="D60" s="175" t="s">
        <v>1458</v>
      </c>
      <c r="E60" s="175"/>
      <c r="F60" s="175"/>
      <c r="G60" s="175"/>
      <c r="H60" s="175"/>
      <c r="I60" s="249"/>
      <c r="J60" s="250"/>
      <c r="K60" s="256"/>
    </row>
    <row r="61" spans="1:11" x14ac:dyDescent="0.2">
      <c r="A61" s="177" t="s">
        <v>1459</v>
      </c>
      <c r="B61" s="177"/>
      <c r="C61" s="178">
        <v>10</v>
      </c>
      <c r="D61" s="177" t="s">
        <v>1460</v>
      </c>
      <c r="E61" s="177"/>
      <c r="F61" s="177"/>
      <c r="G61" s="177"/>
      <c r="H61" s="177"/>
      <c r="I61" s="251" t="s">
        <v>1467</v>
      </c>
      <c r="J61" s="252"/>
      <c r="K61" s="256"/>
    </row>
    <row r="62" spans="1:11" ht="17" thickBot="1" x14ac:dyDescent="0.25">
      <c r="A62" s="177"/>
      <c r="B62" s="177"/>
      <c r="C62" s="178"/>
      <c r="D62" s="177" t="s">
        <v>1461</v>
      </c>
      <c r="E62" s="177"/>
      <c r="F62" s="177"/>
      <c r="G62" s="177"/>
      <c r="H62" s="177"/>
      <c r="I62" s="253"/>
      <c r="J62" s="254"/>
      <c r="K62" s="257"/>
    </row>
    <row r="64" spans="1:11" x14ac:dyDescent="0.2">
      <c r="A64" s="179" t="s">
        <v>1473</v>
      </c>
      <c r="B64" s="179"/>
      <c r="C64" s="179"/>
      <c r="D64" s="179"/>
      <c r="E64" s="179"/>
      <c r="F64" s="179"/>
      <c r="G64" s="179"/>
      <c r="H64" s="179"/>
      <c r="I64" s="179"/>
      <c r="J64" s="179"/>
    </row>
    <row r="65" spans="1:10" x14ac:dyDescent="0.2">
      <c r="A65" s="1" t="s">
        <v>1474</v>
      </c>
    </row>
    <row r="66" spans="1:10" x14ac:dyDescent="0.2">
      <c r="A66" s="1" t="s">
        <v>1475</v>
      </c>
    </row>
    <row r="67" spans="1:10" x14ac:dyDescent="0.2">
      <c r="A67" s="1" t="s">
        <v>1476</v>
      </c>
    </row>
    <row r="68" spans="1:10" x14ac:dyDescent="0.2">
      <c r="A68" s="1" t="s">
        <v>1477</v>
      </c>
    </row>
    <row r="69" spans="1:10" x14ac:dyDescent="0.2">
      <c r="A69" s="1" t="s">
        <v>1478</v>
      </c>
    </row>
    <row r="70" spans="1:10" x14ac:dyDescent="0.2">
      <c r="A70" s="1" t="s">
        <v>1479</v>
      </c>
    </row>
    <row r="71" spans="1:10" x14ac:dyDescent="0.2">
      <c r="A71" s="1" t="s">
        <v>1480</v>
      </c>
    </row>
    <row r="72" spans="1:10" x14ac:dyDescent="0.2">
      <c r="A72" s="1" t="s">
        <v>1481</v>
      </c>
    </row>
    <row r="74" spans="1:10" x14ac:dyDescent="0.2">
      <c r="A74" s="1" t="s">
        <v>27</v>
      </c>
    </row>
    <row r="76" spans="1:10" x14ac:dyDescent="0.2">
      <c r="A76" s="1" t="s">
        <v>1482</v>
      </c>
    </row>
    <row r="77" spans="1:10" x14ac:dyDescent="0.2">
      <c r="A77" s="1" t="s">
        <v>1483</v>
      </c>
    </row>
    <row r="78" spans="1:10" x14ac:dyDescent="0.2">
      <c r="A78" s="1" t="s">
        <v>1484</v>
      </c>
      <c r="J78" s="1" t="s">
        <v>1504</v>
      </c>
    </row>
    <row r="79" spans="1:10" x14ac:dyDescent="0.2">
      <c r="J79" s="2" t="s">
        <v>1505</v>
      </c>
    </row>
    <row r="80" spans="1:10" x14ac:dyDescent="0.2">
      <c r="C80" s="184" t="s">
        <v>844</v>
      </c>
      <c r="D80" s="183"/>
      <c r="E80" s="183"/>
      <c r="F80" s="183"/>
      <c r="J80" s="1" t="s">
        <v>1506</v>
      </c>
    </row>
    <row r="81" spans="1:10" x14ac:dyDescent="0.2">
      <c r="C81" s="184" t="s">
        <v>1501</v>
      </c>
      <c r="D81" s="183"/>
      <c r="E81" s="183"/>
      <c r="F81" s="183"/>
      <c r="J81" s="1" t="s">
        <v>1507</v>
      </c>
    </row>
    <row r="82" spans="1:10" x14ac:dyDescent="0.2">
      <c r="C82" s="184" t="s">
        <v>1502</v>
      </c>
      <c r="D82" s="183"/>
      <c r="E82" s="183"/>
      <c r="F82" s="183"/>
      <c r="J82" s="1" t="s">
        <v>1508</v>
      </c>
    </row>
    <row r="83" spans="1:10" x14ac:dyDescent="0.2">
      <c r="C83" s="184" t="s">
        <v>1496</v>
      </c>
      <c r="D83" s="184" t="s">
        <v>1495</v>
      </c>
      <c r="E83" s="183"/>
      <c r="F83" s="183"/>
      <c r="J83" s="1" t="s">
        <v>1509</v>
      </c>
    </row>
    <row r="84" spans="1:10" x14ac:dyDescent="0.2">
      <c r="C84" s="184" t="s">
        <v>1497</v>
      </c>
      <c r="D84" s="184" t="s">
        <v>1492</v>
      </c>
      <c r="E84" s="184" t="s">
        <v>992</v>
      </c>
      <c r="F84" s="183" t="s">
        <v>1488</v>
      </c>
      <c r="J84" s="1" t="s">
        <v>1510</v>
      </c>
    </row>
    <row r="85" spans="1:10" x14ac:dyDescent="0.2">
      <c r="C85" s="184" t="s">
        <v>1498</v>
      </c>
      <c r="D85" s="184" t="s">
        <v>1493</v>
      </c>
      <c r="E85" s="184" t="s">
        <v>1489</v>
      </c>
      <c r="F85" s="183" t="s">
        <v>1485</v>
      </c>
      <c r="J85" s="1" t="s">
        <v>1511</v>
      </c>
    </row>
    <row r="86" spans="1:10" x14ac:dyDescent="0.2">
      <c r="C86" s="184" t="s">
        <v>1499</v>
      </c>
      <c r="D86" s="184" t="s">
        <v>41</v>
      </c>
      <c r="E86" s="184" t="s">
        <v>1490</v>
      </c>
      <c r="F86" s="183" t="s">
        <v>1486</v>
      </c>
      <c r="J86" s="1" t="s">
        <v>1512</v>
      </c>
    </row>
    <row r="87" spans="1:10" x14ac:dyDescent="0.2">
      <c r="C87" s="185" t="s">
        <v>1500</v>
      </c>
      <c r="D87" s="185" t="s">
        <v>1494</v>
      </c>
      <c r="E87" s="185" t="s">
        <v>1491</v>
      </c>
      <c r="F87" s="186" t="s">
        <v>1487</v>
      </c>
      <c r="G87" s="58" t="s">
        <v>177</v>
      </c>
    </row>
    <row r="88" spans="1:10" x14ac:dyDescent="0.2">
      <c r="C88" s="12">
        <f>3*4</f>
        <v>12</v>
      </c>
      <c r="D88" s="12">
        <v>24</v>
      </c>
      <c r="E88" s="12">
        <f>2*12</f>
        <v>24</v>
      </c>
      <c r="F88" s="12">
        <f>2*12</f>
        <v>24</v>
      </c>
      <c r="G88" s="1" t="s">
        <v>45</v>
      </c>
      <c r="J88" s="2" t="s">
        <v>1513</v>
      </c>
    </row>
    <row r="89" spans="1:10" x14ac:dyDescent="0.2">
      <c r="C89" s="180">
        <f>((1+15%)^(1/4)-1)*100</f>
        <v>3.5558076341622114</v>
      </c>
      <c r="D89" s="180">
        <f>E89</f>
        <v>1.171491691985338</v>
      </c>
      <c r="E89" s="180">
        <f>((1+15%)^(1/12)-1)*100</f>
        <v>1.171491691985338</v>
      </c>
      <c r="F89" s="12">
        <f>((1+10%)^(1/12)-1)*100</f>
        <v>0.79741404289037643</v>
      </c>
      <c r="G89" s="1" t="s">
        <v>42</v>
      </c>
      <c r="J89" s="1" t="s">
        <v>1514</v>
      </c>
    </row>
    <row r="90" spans="1:10" x14ac:dyDescent="0.2">
      <c r="C90" s="181">
        <f>-D92-50000</f>
        <v>-214934.81980163525</v>
      </c>
      <c r="D90" s="93">
        <f>-E92</f>
        <v>-124714.41950974279</v>
      </c>
      <c r="E90" s="42">
        <f>-F92</f>
        <v>-52670.253771507851</v>
      </c>
      <c r="F90" s="12">
        <v>0</v>
      </c>
      <c r="G90" s="1" t="s">
        <v>39</v>
      </c>
      <c r="J90" s="1" t="s">
        <v>1515</v>
      </c>
    </row>
    <row r="91" spans="1:10" x14ac:dyDescent="0.2">
      <c r="C91" s="12">
        <v>-4000</v>
      </c>
      <c r="D91" s="12">
        <v>0</v>
      </c>
      <c r="E91" s="12">
        <v>-2000</v>
      </c>
      <c r="F91" s="12">
        <v>-2000</v>
      </c>
      <c r="G91" s="1" t="s">
        <v>47</v>
      </c>
      <c r="J91" s="1" t="s">
        <v>1516</v>
      </c>
    </row>
    <row r="92" spans="1:10" x14ac:dyDescent="0.2">
      <c r="C92" s="182">
        <f>FV(C89/100,C88,C91,C90)</f>
        <v>385483.27740057121</v>
      </c>
      <c r="D92" s="181">
        <f>FV(D89/100,D88,D91,D90)</f>
        <v>164934.81980163525</v>
      </c>
      <c r="E92" s="93">
        <f>FV(E89/100,E88,E91,E90)</f>
        <v>124714.41950974279</v>
      </c>
      <c r="F92" s="42">
        <f>FV(F89/100,F88,F91,F90)</f>
        <v>52670.253771507851</v>
      </c>
      <c r="G92" s="1" t="s">
        <v>50</v>
      </c>
      <c r="H92" s="1" t="s">
        <v>813</v>
      </c>
      <c r="J92" s="1" t="s">
        <v>1517</v>
      </c>
    </row>
    <row r="93" spans="1:10" x14ac:dyDescent="0.2">
      <c r="J93" s="1" t="s">
        <v>1518</v>
      </c>
    </row>
    <row r="94" spans="1:10" x14ac:dyDescent="0.2">
      <c r="A94" s="2" t="s">
        <v>1503</v>
      </c>
      <c r="J94" s="1" t="s">
        <v>1519</v>
      </c>
    </row>
    <row r="95" spans="1:10" x14ac:dyDescent="0.2">
      <c r="J95" s="1" t="s">
        <v>1520</v>
      </c>
    </row>
    <row r="96" spans="1:10" x14ac:dyDescent="0.2">
      <c r="J96" s="1" t="s">
        <v>1521</v>
      </c>
    </row>
    <row r="97" spans="1:10" x14ac:dyDescent="0.2">
      <c r="J97" s="1" t="s">
        <v>1522</v>
      </c>
    </row>
    <row r="98" spans="1:10" x14ac:dyDescent="0.2">
      <c r="J98" s="1" t="s">
        <v>1524</v>
      </c>
    </row>
    <row r="99" spans="1:10" x14ac:dyDescent="0.2">
      <c r="J99" s="1" t="s">
        <v>1523</v>
      </c>
    </row>
    <row r="101" spans="1:10" x14ac:dyDescent="0.2">
      <c r="A101" s="188" t="s">
        <v>1525</v>
      </c>
      <c r="B101" s="187"/>
      <c r="C101" s="187"/>
      <c r="D101" s="187"/>
      <c r="E101" s="187"/>
      <c r="F101" s="187"/>
      <c r="G101" s="187"/>
      <c r="H101" s="187"/>
    </row>
    <row r="102" spans="1:10" x14ac:dyDescent="0.2">
      <c r="A102" s="1" t="s">
        <v>1526</v>
      </c>
    </row>
    <row r="103" spans="1:10" x14ac:dyDescent="0.2">
      <c r="A103" s="1" t="s">
        <v>1527</v>
      </c>
    </row>
    <row r="104" spans="1:10" x14ac:dyDescent="0.2">
      <c r="A104" s="1" t="s">
        <v>1528</v>
      </c>
    </row>
    <row r="105" spans="1:10" x14ac:dyDescent="0.2">
      <c r="A105" s="1" t="s">
        <v>1529</v>
      </c>
    </row>
    <row r="106" spans="1:10" x14ac:dyDescent="0.2">
      <c r="A106" s="1" t="s">
        <v>1530</v>
      </c>
    </row>
    <row r="108" spans="1:10" x14ac:dyDescent="0.2">
      <c r="A108" s="1" t="s">
        <v>1531</v>
      </c>
    </row>
    <row r="109" spans="1:10" x14ac:dyDescent="0.2">
      <c r="A109" s="1" t="s">
        <v>1532</v>
      </c>
    </row>
    <row r="110" spans="1:10" x14ac:dyDescent="0.2">
      <c r="A110" s="1" t="s">
        <v>1543</v>
      </c>
    </row>
    <row r="112" spans="1:10" x14ac:dyDescent="0.2">
      <c r="A112" s="1" t="s">
        <v>27</v>
      </c>
    </row>
    <row r="114" spans="1:8" x14ac:dyDescent="0.2">
      <c r="A114" s="2" t="s">
        <v>1549</v>
      </c>
    </row>
    <row r="115" spans="1:8" x14ac:dyDescent="0.2">
      <c r="A115" s="1" t="s">
        <v>1533</v>
      </c>
    </row>
    <row r="116" spans="1:8" x14ac:dyDescent="0.2">
      <c r="A116" s="1" t="s">
        <v>1534</v>
      </c>
    </row>
    <row r="118" spans="1:8" x14ac:dyDescent="0.2">
      <c r="E118" s="1">
        <v>20</v>
      </c>
      <c r="F118" s="1" t="s">
        <v>45</v>
      </c>
      <c r="G118" s="1" t="s">
        <v>1535</v>
      </c>
    </row>
    <row r="119" spans="1:8" x14ac:dyDescent="0.2">
      <c r="E119" s="189">
        <f>RATE(E118,E121,E120,E122)*100</f>
        <v>0.80759584087683833</v>
      </c>
      <c r="F119" s="1" t="s">
        <v>42</v>
      </c>
      <c r="G119" s="12" t="s">
        <v>51</v>
      </c>
      <c r="H119" s="1" t="s">
        <v>1540</v>
      </c>
    </row>
    <row r="120" spans="1:8" x14ac:dyDescent="0.2">
      <c r="D120" s="1" t="s">
        <v>1537</v>
      </c>
      <c r="E120" s="1">
        <f>100000*0.92</f>
        <v>92000</v>
      </c>
      <c r="F120" s="1" t="s">
        <v>39</v>
      </c>
      <c r="G120" s="1" t="s">
        <v>1536</v>
      </c>
    </row>
    <row r="121" spans="1:8" x14ac:dyDescent="0.2">
      <c r="E121" s="1">
        <v>-5000</v>
      </c>
      <c r="F121" s="1" t="s">
        <v>47</v>
      </c>
      <c r="G121" s="1" t="s">
        <v>1538</v>
      </c>
    </row>
    <row r="122" spans="1:8" x14ac:dyDescent="0.2">
      <c r="E122" s="1">
        <v>0</v>
      </c>
      <c r="F122" s="1" t="s">
        <v>50</v>
      </c>
      <c r="G122" s="1" t="s">
        <v>1539</v>
      </c>
    </row>
    <row r="124" spans="1:8" x14ac:dyDescent="0.2">
      <c r="A124" s="1" t="s">
        <v>1541</v>
      </c>
    </row>
    <row r="125" spans="1:8" x14ac:dyDescent="0.2">
      <c r="B125" s="2" t="s">
        <v>1542</v>
      </c>
      <c r="C125" s="2"/>
      <c r="D125" s="2"/>
      <c r="F125" s="190">
        <f>(1+0.807596%)^12-1</f>
        <v>0.10133412678184484</v>
      </c>
    </row>
    <row r="127" spans="1:8" x14ac:dyDescent="0.2">
      <c r="A127" s="2" t="s">
        <v>1544</v>
      </c>
      <c r="B127" s="1" t="s">
        <v>1545</v>
      </c>
      <c r="D127" s="191">
        <v>0.10133399999999999</v>
      </c>
    </row>
    <row r="128" spans="1:8" x14ac:dyDescent="0.2">
      <c r="B128" s="1" t="s">
        <v>1546</v>
      </c>
      <c r="D128" s="153">
        <v>0.1</v>
      </c>
    </row>
    <row r="130" spans="1:8" x14ac:dyDescent="0.2">
      <c r="B130" s="2" t="s">
        <v>1547</v>
      </c>
    </row>
    <row r="131" spans="1:8" x14ac:dyDescent="0.2">
      <c r="B131" s="2" t="s">
        <v>1548</v>
      </c>
    </row>
    <row r="133" spans="1:8" x14ac:dyDescent="0.2">
      <c r="A133" s="188" t="s">
        <v>1525</v>
      </c>
      <c r="B133" s="187"/>
      <c r="C133" s="187"/>
      <c r="D133" s="187"/>
      <c r="E133" s="187"/>
      <c r="F133" s="187"/>
      <c r="G133" s="187"/>
      <c r="H133" s="187"/>
    </row>
    <row r="134" spans="1:8" x14ac:dyDescent="0.2">
      <c r="A134" s="1" t="s">
        <v>1552</v>
      </c>
    </row>
    <row r="135" spans="1:8" x14ac:dyDescent="0.2">
      <c r="A135" s="1" t="s">
        <v>1550</v>
      </c>
    </row>
    <row r="136" spans="1:8" x14ac:dyDescent="0.2">
      <c r="A136" s="1" t="s">
        <v>1551</v>
      </c>
    </row>
    <row r="137" spans="1:8" x14ac:dyDescent="0.2">
      <c r="A137" s="1" t="s">
        <v>719</v>
      </c>
    </row>
    <row r="138" spans="1:8" x14ac:dyDescent="0.2">
      <c r="A138" s="1" t="s">
        <v>1553</v>
      </c>
    </row>
    <row r="139" spans="1:8" x14ac:dyDescent="0.2">
      <c r="A139" s="1" t="s">
        <v>1554</v>
      </c>
    </row>
    <row r="140" spans="1:8" x14ac:dyDescent="0.2">
      <c r="A140" s="1" t="s">
        <v>1555</v>
      </c>
    </row>
    <row r="141" spans="1:8" x14ac:dyDescent="0.2">
      <c r="A141" s="1" t="s">
        <v>1556</v>
      </c>
    </row>
    <row r="143" spans="1:8" x14ac:dyDescent="0.2">
      <c r="A143" s="2" t="s">
        <v>27</v>
      </c>
    </row>
    <row r="145" spans="1:9" x14ac:dyDescent="0.2">
      <c r="A145" s="78" t="s">
        <v>1553</v>
      </c>
    </row>
    <row r="146" spans="1:9" x14ac:dyDescent="0.2">
      <c r="A146" s="1" t="s">
        <v>1557</v>
      </c>
    </row>
    <row r="147" spans="1:9" x14ac:dyDescent="0.2">
      <c r="A147" s="1" t="s">
        <v>1558</v>
      </c>
    </row>
    <row r="149" spans="1:9" x14ac:dyDescent="0.2">
      <c r="A149" s="1" t="s">
        <v>1563</v>
      </c>
      <c r="F149" s="58"/>
      <c r="G149" s="58" t="s">
        <v>177</v>
      </c>
    </row>
    <row r="150" spans="1:9" x14ac:dyDescent="0.2">
      <c r="A150" s="1" t="s">
        <v>1564</v>
      </c>
      <c r="F150" s="12">
        <f>30*12</f>
        <v>360</v>
      </c>
      <c r="G150" s="1" t="s">
        <v>45</v>
      </c>
      <c r="H150" s="1" t="s">
        <v>1559</v>
      </c>
    </row>
    <row r="151" spans="1:9" x14ac:dyDescent="0.2">
      <c r="A151" s="1" t="s">
        <v>1565</v>
      </c>
      <c r="F151" s="12">
        <f>((1+8%)^(1/12)-1)*100</f>
        <v>0.64340301100034303</v>
      </c>
      <c r="G151" s="1" t="s">
        <v>42</v>
      </c>
      <c r="H151" s="1" t="s">
        <v>1560</v>
      </c>
    </row>
    <row r="152" spans="1:9" x14ac:dyDescent="0.2">
      <c r="F152" s="12">
        <v>800000</v>
      </c>
      <c r="G152" s="1" t="s">
        <v>39</v>
      </c>
      <c r="H152" s="1" t="s">
        <v>688</v>
      </c>
    </row>
    <row r="153" spans="1:9" x14ac:dyDescent="0.2">
      <c r="D153" s="59" t="s">
        <v>1194</v>
      </c>
      <c r="F153" s="42">
        <f>PMT(F151/100,F150,F152)</f>
        <v>-5715.1838100803443</v>
      </c>
      <c r="G153" s="1" t="s">
        <v>47</v>
      </c>
      <c r="H153" s="1" t="s">
        <v>51</v>
      </c>
      <c r="I153" s="2" t="s">
        <v>1562</v>
      </c>
    </row>
    <row r="154" spans="1:9" x14ac:dyDescent="0.2">
      <c r="C154" s="12">
        <v>1</v>
      </c>
      <c r="D154" s="12" t="s">
        <v>1245</v>
      </c>
      <c r="F154" s="12">
        <v>0</v>
      </c>
      <c r="G154" s="1" t="s">
        <v>50</v>
      </c>
      <c r="H154" s="1" t="s">
        <v>1561</v>
      </c>
    </row>
    <row r="155" spans="1:9" x14ac:dyDescent="0.2">
      <c r="C155" s="12">
        <v>12</v>
      </c>
      <c r="D155" s="12" t="s">
        <v>1246</v>
      </c>
    </row>
    <row r="156" spans="1:9" ht="17" thickBot="1" x14ac:dyDescent="0.25"/>
    <row r="157" spans="1:9" x14ac:dyDescent="0.2">
      <c r="C157" s="156">
        <v>-61520.26</v>
      </c>
      <c r="E157" s="12" t="s">
        <v>51</v>
      </c>
    </row>
    <row r="158" spans="1:9" x14ac:dyDescent="0.2">
      <c r="C158" s="192" t="s">
        <v>1566</v>
      </c>
    </row>
    <row r="159" spans="1:9" x14ac:dyDescent="0.2">
      <c r="C159" s="192" t="s">
        <v>1567</v>
      </c>
    </row>
    <row r="160" spans="1:9" x14ac:dyDescent="0.2">
      <c r="C160" s="192" t="s">
        <v>1569</v>
      </c>
    </row>
    <row r="161" spans="1:11" ht="17" thickBot="1" x14ac:dyDescent="0.25">
      <c r="C161" s="44" t="s">
        <v>1568</v>
      </c>
    </row>
    <row r="163" spans="1:11" x14ac:dyDescent="0.2">
      <c r="A163" s="78" t="s">
        <v>1554</v>
      </c>
    </row>
    <row r="164" spans="1:11" x14ac:dyDescent="0.2">
      <c r="A164" s="1" t="s">
        <v>1570</v>
      </c>
      <c r="G164" s="1">
        <f>12*12</f>
        <v>144</v>
      </c>
      <c r="J164" s="59" t="s">
        <v>1194</v>
      </c>
    </row>
    <row r="165" spans="1:11" x14ac:dyDescent="0.2">
      <c r="I165" s="12">
        <v>144</v>
      </c>
      <c r="J165" s="12" t="s">
        <v>1245</v>
      </c>
    </row>
    <row r="166" spans="1:11" x14ac:dyDescent="0.2">
      <c r="I166" s="12">
        <v>144</v>
      </c>
      <c r="J166" s="12" t="s">
        <v>1246</v>
      </c>
    </row>
    <row r="167" spans="1:11" ht="17" thickBot="1" x14ac:dyDescent="0.25"/>
    <row r="168" spans="1:11" x14ac:dyDescent="0.2">
      <c r="I168" s="156">
        <v>665984.54</v>
      </c>
      <c r="K168" s="12" t="s">
        <v>51</v>
      </c>
    </row>
    <row r="169" spans="1:11" x14ac:dyDescent="0.2">
      <c r="I169" s="192" t="s">
        <v>1571</v>
      </c>
    </row>
    <row r="170" spans="1:11" x14ac:dyDescent="0.2">
      <c r="I170" s="192" t="s">
        <v>1572</v>
      </c>
    </row>
    <row r="171" spans="1:11" x14ac:dyDescent="0.2">
      <c r="I171" s="192" t="s">
        <v>1577</v>
      </c>
    </row>
    <row r="172" spans="1:11" ht="17" thickBot="1" x14ac:dyDescent="0.25">
      <c r="I172" s="44" t="s">
        <v>1573</v>
      </c>
    </row>
    <row r="174" spans="1:11" x14ac:dyDescent="0.2">
      <c r="A174" s="78" t="s">
        <v>1574</v>
      </c>
      <c r="B174" s="78"/>
      <c r="C174" s="78"/>
      <c r="D174" s="78"/>
      <c r="E174" s="78"/>
      <c r="F174" s="78"/>
      <c r="G174" s="78"/>
      <c r="H174" s="78"/>
    </row>
    <row r="176" spans="1:11" x14ac:dyDescent="0.2">
      <c r="A176" s="1" t="s">
        <v>1575</v>
      </c>
      <c r="G176" s="1">
        <f>14*12</f>
        <v>168</v>
      </c>
      <c r="J176" s="59" t="s">
        <v>1194</v>
      </c>
    </row>
    <row r="177" spans="1:11" x14ac:dyDescent="0.2">
      <c r="I177" s="12">
        <v>168</v>
      </c>
      <c r="J177" s="12" t="s">
        <v>1245</v>
      </c>
    </row>
    <row r="178" spans="1:11" x14ac:dyDescent="0.2">
      <c r="I178" s="12">
        <f>I177</f>
        <v>168</v>
      </c>
      <c r="J178" s="12" t="s">
        <v>1246</v>
      </c>
    </row>
    <row r="179" spans="1:11" ht="17" thickBot="1" x14ac:dyDescent="0.25"/>
    <row r="180" spans="1:11" x14ac:dyDescent="0.2">
      <c r="G180" s="1" t="s">
        <v>1578</v>
      </c>
      <c r="I180" s="156">
        <v>628994.14</v>
      </c>
      <c r="K180" s="12" t="s">
        <v>51</v>
      </c>
    </row>
    <row r="181" spans="1:11" x14ac:dyDescent="0.2">
      <c r="I181" s="192" t="s">
        <v>1571</v>
      </c>
    </row>
    <row r="182" spans="1:11" x14ac:dyDescent="0.2">
      <c r="I182" s="192" t="s">
        <v>1572</v>
      </c>
    </row>
    <row r="183" spans="1:11" x14ac:dyDescent="0.2">
      <c r="I183" s="192" t="s">
        <v>1576</v>
      </c>
    </row>
    <row r="184" spans="1:11" ht="17" thickBot="1" x14ac:dyDescent="0.25">
      <c r="I184" s="44" t="s">
        <v>1573</v>
      </c>
    </row>
    <row r="186" spans="1:11" x14ac:dyDescent="0.2">
      <c r="A186" s="1" t="s">
        <v>1579</v>
      </c>
    </row>
    <row r="189" spans="1:11" x14ac:dyDescent="0.2">
      <c r="A189" s="1" t="s">
        <v>1580</v>
      </c>
      <c r="F189" s="258">
        <f>628994.14*109.5/104</f>
        <v>662258.2531730769</v>
      </c>
    </row>
    <row r="190" spans="1:11" x14ac:dyDescent="0.2">
      <c r="F190" s="258"/>
    </row>
  </sheetData>
  <mergeCells count="9">
    <mergeCell ref="I59:J60"/>
    <mergeCell ref="I61:J62"/>
    <mergeCell ref="K34:K62"/>
    <mergeCell ref="F189:F190"/>
    <mergeCell ref="I34:J41"/>
    <mergeCell ref="I42:J47"/>
    <mergeCell ref="I48:J53"/>
    <mergeCell ref="I54:J54"/>
    <mergeCell ref="I55:J5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2A21FC-4C40-3A4E-A55E-D8FAC0634CDC}">
  <dimension ref="A1:I469"/>
  <sheetViews>
    <sheetView rightToLeft="1" zoomScale="267" workbookViewId="0">
      <selection activeCell="E289" sqref="E289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1623</v>
      </c>
      <c r="B1" s="29"/>
      <c r="C1" s="29"/>
      <c r="D1" s="29"/>
      <c r="E1" s="29"/>
      <c r="F1" s="29"/>
      <c r="G1" s="29"/>
      <c r="H1" s="29"/>
    </row>
    <row r="2" spans="1:8" ht="17" thickBot="1" x14ac:dyDescent="0.25"/>
    <row r="3" spans="1:8" x14ac:dyDescent="0.2">
      <c r="A3" s="30" t="s">
        <v>164</v>
      </c>
      <c r="B3" s="31"/>
      <c r="C3" s="31"/>
      <c r="D3" s="31"/>
      <c r="E3" s="31"/>
      <c r="F3" s="31"/>
      <c r="G3" s="31"/>
      <c r="H3" s="23"/>
    </row>
    <row r="4" spans="1:8" x14ac:dyDescent="0.2">
      <c r="A4" s="24" t="s">
        <v>165</v>
      </c>
      <c r="H4" s="25"/>
    </row>
    <row r="5" spans="1:8" x14ac:dyDescent="0.2">
      <c r="A5" s="24" t="s">
        <v>166</v>
      </c>
      <c r="H5" s="25"/>
    </row>
    <row r="6" spans="1:8" x14ac:dyDescent="0.2">
      <c r="A6" s="24" t="s">
        <v>167</v>
      </c>
      <c r="H6" s="25"/>
    </row>
    <row r="7" spans="1:8" x14ac:dyDescent="0.2">
      <c r="A7" s="24" t="s">
        <v>168</v>
      </c>
      <c r="H7" s="25"/>
    </row>
    <row r="8" spans="1:8" x14ac:dyDescent="0.2">
      <c r="A8" s="24" t="s">
        <v>169</v>
      </c>
      <c r="H8" s="25"/>
    </row>
    <row r="9" spans="1:8" x14ac:dyDescent="0.2">
      <c r="A9" s="24" t="s">
        <v>170</v>
      </c>
      <c r="H9" s="25"/>
    </row>
    <row r="10" spans="1:8" ht="17" thickBot="1" x14ac:dyDescent="0.25">
      <c r="A10" s="26" t="s">
        <v>171</v>
      </c>
      <c r="B10" s="27"/>
      <c r="C10" s="27"/>
      <c r="D10" s="27"/>
      <c r="E10" s="27"/>
      <c r="F10" s="27"/>
      <c r="G10" s="27"/>
      <c r="H10" s="28"/>
    </row>
    <row r="12" spans="1:8" x14ac:dyDescent="0.2">
      <c r="A12" s="38" t="s">
        <v>172</v>
      </c>
      <c r="B12" s="39"/>
      <c r="C12" s="39"/>
      <c r="D12" s="39"/>
      <c r="E12" s="39"/>
      <c r="F12" s="39"/>
      <c r="G12" s="39"/>
      <c r="H12" s="39"/>
    </row>
    <row r="13" spans="1:8" x14ac:dyDescent="0.2">
      <c r="A13" s="1" t="s">
        <v>176</v>
      </c>
    </row>
    <row r="15" spans="1:8" x14ac:dyDescent="0.2">
      <c r="C15" s="1" t="s">
        <v>1624</v>
      </c>
      <c r="F15" s="32" t="s">
        <v>173</v>
      </c>
    </row>
    <row r="16" spans="1:8" x14ac:dyDescent="0.2">
      <c r="F16" s="12">
        <v>9</v>
      </c>
    </row>
    <row r="17" spans="1:8" x14ac:dyDescent="0.2">
      <c r="F17" s="33" t="s">
        <v>1625</v>
      </c>
    </row>
    <row r="18" spans="1:8" x14ac:dyDescent="0.2">
      <c r="C18" s="1" t="s">
        <v>1626</v>
      </c>
      <c r="F18" s="12" t="s">
        <v>174</v>
      </c>
    </row>
    <row r="19" spans="1:8" x14ac:dyDescent="0.2">
      <c r="C19" s="1" t="s">
        <v>1627</v>
      </c>
      <c r="F19" s="12" t="s">
        <v>175</v>
      </c>
    </row>
    <row r="21" spans="1:8" x14ac:dyDescent="0.2">
      <c r="A21" s="1" t="s">
        <v>189</v>
      </c>
    </row>
    <row r="23" spans="1:8" x14ac:dyDescent="0.2">
      <c r="C23" s="1" t="s">
        <v>1628</v>
      </c>
      <c r="F23" s="32" t="s">
        <v>177</v>
      </c>
    </row>
    <row r="24" spans="1:8" x14ac:dyDescent="0.2">
      <c r="A24" s="1" t="s">
        <v>180</v>
      </c>
      <c r="E24" s="12" t="s">
        <v>179</v>
      </c>
      <c r="F24" s="12" t="s">
        <v>178</v>
      </c>
    </row>
    <row r="25" spans="1:8" x14ac:dyDescent="0.2">
      <c r="A25" s="1" t="s">
        <v>194</v>
      </c>
      <c r="E25" s="12" t="s">
        <v>182</v>
      </c>
      <c r="F25" s="12" t="s">
        <v>45</v>
      </c>
    </row>
    <row r="26" spans="1:8" x14ac:dyDescent="0.2">
      <c r="A26" s="1" t="s">
        <v>184</v>
      </c>
      <c r="E26" s="12" t="s">
        <v>182</v>
      </c>
      <c r="F26" s="12" t="s">
        <v>42</v>
      </c>
    </row>
    <row r="27" spans="1:8" x14ac:dyDescent="0.2">
      <c r="A27" s="33" t="s">
        <v>186</v>
      </c>
      <c r="B27" s="12"/>
      <c r="C27" s="12"/>
      <c r="D27" s="12"/>
      <c r="E27" s="12" t="s">
        <v>182</v>
      </c>
      <c r="F27" s="12" t="s">
        <v>39</v>
      </c>
      <c r="H27" s="1" t="s">
        <v>185</v>
      </c>
    </row>
    <row r="28" spans="1:8" x14ac:dyDescent="0.2">
      <c r="A28" s="1" t="s">
        <v>1629</v>
      </c>
      <c r="E28" s="12">
        <v>0</v>
      </c>
      <c r="F28" s="12" t="s">
        <v>47</v>
      </c>
    </row>
    <row r="29" spans="1:8" x14ac:dyDescent="0.2">
      <c r="A29" s="1" t="s">
        <v>188</v>
      </c>
      <c r="E29" s="12" t="s">
        <v>52</v>
      </c>
      <c r="F29" s="12" t="s">
        <v>50</v>
      </c>
      <c r="G29" s="34" t="s">
        <v>51</v>
      </c>
      <c r="H29" s="1" t="s">
        <v>187</v>
      </c>
    </row>
    <row r="31" spans="1:8" x14ac:dyDescent="0.2">
      <c r="A31" s="2" t="s">
        <v>190</v>
      </c>
    </row>
    <row r="33" spans="1:8" x14ac:dyDescent="0.2">
      <c r="F33" s="32" t="s">
        <v>177</v>
      </c>
    </row>
    <row r="34" spans="1:8" x14ac:dyDescent="0.2">
      <c r="A34" s="1" t="s">
        <v>191</v>
      </c>
      <c r="E34" s="12" t="s">
        <v>179</v>
      </c>
      <c r="F34" s="12" t="s">
        <v>178</v>
      </c>
      <c r="G34" s="1" t="s">
        <v>192</v>
      </c>
    </row>
    <row r="35" spans="1:8" x14ac:dyDescent="0.2">
      <c r="A35" s="1" t="s">
        <v>193</v>
      </c>
      <c r="E35" s="12" t="s">
        <v>182</v>
      </c>
      <c r="F35" s="12" t="s">
        <v>45</v>
      </c>
    </row>
    <row r="36" spans="1:8" x14ac:dyDescent="0.2">
      <c r="A36" s="1" t="s">
        <v>195</v>
      </c>
      <c r="E36" s="12" t="s">
        <v>182</v>
      </c>
      <c r="F36" s="12" t="s">
        <v>42</v>
      </c>
    </row>
    <row r="37" spans="1:8" x14ac:dyDescent="0.2">
      <c r="A37" s="33" t="s">
        <v>196</v>
      </c>
      <c r="B37" s="12"/>
      <c r="C37" s="12"/>
      <c r="D37" s="12"/>
      <c r="E37" s="12" t="s">
        <v>182</v>
      </c>
      <c r="F37" s="12" t="s">
        <v>39</v>
      </c>
      <c r="G37" s="1" t="s">
        <v>197</v>
      </c>
    </row>
    <row r="38" spans="1:8" x14ac:dyDescent="0.2">
      <c r="A38" s="1" t="s">
        <v>198</v>
      </c>
      <c r="E38" s="12" t="s">
        <v>182</v>
      </c>
      <c r="F38" s="12" t="s">
        <v>47</v>
      </c>
    </row>
    <row r="39" spans="1:8" x14ac:dyDescent="0.2">
      <c r="A39" s="1" t="s">
        <v>188</v>
      </c>
      <c r="E39" s="12" t="s">
        <v>52</v>
      </c>
      <c r="F39" s="12" t="s">
        <v>50</v>
      </c>
      <c r="G39" s="34" t="s">
        <v>51</v>
      </c>
      <c r="H39" s="1" t="s">
        <v>187</v>
      </c>
    </row>
    <row r="41" spans="1:8" x14ac:dyDescent="0.2">
      <c r="A41" s="29" t="s">
        <v>199</v>
      </c>
      <c r="B41" s="29"/>
      <c r="C41" s="29"/>
      <c r="D41" s="29"/>
      <c r="E41" s="29"/>
      <c r="F41" s="29"/>
      <c r="G41" s="29"/>
      <c r="H41" s="29"/>
    </row>
    <row r="43" spans="1:8" x14ac:dyDescent="0.2">
      <c r="A43" s="35" t="s">
        <v>202</v>
      </c>
      <c r="B43" s="35"/>
      <c r="C43" s="35"/>
      <c r="D43" s="35"/>
      <c r="E43" s="35"/>
      <c r="F43" s="35"/>
      <c r="G43" s="35"/>
      <c r="H43" s="35"/>
    </row>
    <row r="44" spans="1:8" x14ac:dyDescent="0.2">
      <c r="A44" s="1" t="s">
        <v>201</v>
      </c>
    </row>
    <row r="45" spans="1:8" x14ac:dyDescent="0.2">
      <c r="A45" s="1" t="s">
        <v>1630</v>
      </c>
    </row>
    <row r="47" spans="1:8" x14ac:dyDescent="0.2">
      <c r="A47" s="2" t="s">
        <v>27</v>
      </c>
    </row>
    <row r="49" spans="1:8" x14ac:dyDescent="0.2">
      <c r="E49" s="32" t="s">
        <v>177</v>
      </c>
    </row>
    <row r="50" spans="1:8" x14ac:dyDescent="0.2">
      <c r="A50" s="1" t="s">
        <v>203</v>
      </c>
      <c r="D50" s="12" t="s">
        <v>179</v>
      </c>
      <c r="E50" s="12" t="s">
        <v>178</v>
      </c>
    </row>
    <row r="51" spans="1:8" x14ac:dyDescent="0.2">
      <c r="A51" s="1" t="s">
        <v>181</v>
      </c>
      <c r="D51" s="70">
        <v>7</v>
      </c>
      <c r="E51" s="12" t="s">
        <v>45</v>
      </c>
      <c r="F51" s="1" t="s">
        <v>204</v>
      </c>
    </row>
    <row r="52" spans="1:8" x14ac:dyDescent="0.2">
      <c r="A52" s="1" t="s">
        <v>183</v>
      </c>
      <c r="D52" s="70">
        <v>4</v>
      </c>
      <c r="E52" s="12" t="s">
        <v>42</v>
      </c>
      <c r="F52" s="1" t="s">
        <v>205</v>
      </c>
    </row>
    <row r="53" spans="1:8" x14ac:dyDescent="0.2">
      <c r="A53" s="1" t="s">
        <v>206</v>
      </c>
      <c r="D53" s="70">
        <v>-40000</v>
      </c>
      <c r="E53" s="12" t="s">
        <v>39</v>
      </c>
    </row>
    <row r="54" spans="1:8" x14ac:dyDescent="0.2">
      <c r="A54" s="1" t="s">
        <v>207</v>
      </c>
      <c r="D54" s="70">
        <v>0</v>
      </c>
      <c r="E54" s="12" t="s">
        <v>47</v>
      </c>
    </row>
    <row r="55" spans="1:8" x14ac:dyDescent="0.2">
      <c r="D55" s="204">
        <f>FV(D52/100,D51,D54,D53)</f>
        <v>52637.27116943361</v>
      </c>
      <c r="E55" s="12" t="s">
        <v>50</v>
      </c>
      <c r="F55" s="34" t="s">
        <v>51</v>
      </c>
    </row>
    <row r="57" spans="1:8" x14ac:dyDescent="0.2">
      <c r="A57" s="35" t="s">
        <v>208</v>
      </c>
      <c r="B57" s="35"/>
      <c r="C57" s="35"/>
      <c r="D57" s="35"/>
      <c r="E57" s="35"/>
      <c r="F57" s="35"/>
      <c r="G57" s="35"/>
      <c r="H57" s="35"/>
    </row>
    <row r="58" spans="1:8" x14ac:dyDescent="0.2">
      <c r="A58" s="1" t="s">
        <v>209</v>
      </c>
    </row>
    <row r="59" spans="1:8" x14ac:dyDescent="0.2">
      <c r="A59" s="1" t="s">
        <v>210</v>
      </c>
    </row>
    <row r="61" spans="1:8" x14ac:dyDescent="0.2">
      <c r="A61" s="2" t="s">
        <v>27</v>
      </c>
    </row>
    <row r="62" spans="1:8" x14ac:dyDescent="0.2">
      <c r="A62" s="1" t="s">
        <v>211</v>
      </c>
    </row>
    <row r="63" spans="1:8" x14ac:dyDescent="0.2">
      <c r="A63" s="1" t="s">
        <v>212</v>
      </c>
    </row>
    <row r="65" spans="1:8" x14ac:dyDescent="0.2">
      <c r="E65" s="32" t="s">
        <v>177</v>
      </c>
    </row>
    <row r="66" spans="1:8" x14ac:dyDescent="0.2">
      <c r="A66" s="1" t="s">
        <v>213</v>
      </c>
      <c r="D66" s="12" t="s">
        <v>179</v>
      </c>
      <c r="E66" s="12" t="s">
        <v>178</v>
      </c>
    </row>
    <row r="67" spans="1:8" x14ac:dyDescent="0.2">
      <c r="A67" s="1" t="s">
        <v>214</v>
      </c>
      <c r="D67" s="70">
        <v>8</v>
      </c>
      <c r="E67" s="12" t="s">
        <v>45</v>
      </c>
    </row>
    <row r="68" spans="1:8" x14ac:dyDescent="0.2">
      <c r="A68" s="1" t="s">
        <v>215</v>
      </c>
      <c r="D68" s="70">
        <v>9</v>
      </c>
      <c r="E68" s="12" t="s">
        <v>42</v>
      </c>
    </row>
    <row r="69" spans="1:8" x14ac:dyDescent="0.2">
      <c r="A69" s="1" t="s">
        <v>216</v>
      </c>
      <c r="D69" s="70">
        <v>-2400000</v>
      </c>
      <c r="E69" s="12" t="s">
        <v>39</v>
      </c>
    </row>
    <row r="70" spans="1:8" x14ac:dyDescent="0.2">
      <c r="A70" s="1" t="s">
        <v>217</v>
      </c>
      <c r="D70" s="70">
        <v>0</v>
      </c>
      <c r="E70" s="12" t="s">
        <v>47</v>
      </c>
    </row>
    <row r="71" spans="1:8" x14ac:dyDescent="0.2">
      <c r="D71" s="204">
        <f>FV(D68/100,D67,D70,D69)</f>
        <v>4782150.3400564631</v>
      </c>
      <c r="E71" s="12" t="s">
        <v>50</v>
      </c>
      <c r="F71" s="34" t="s">
        <v>51</v>
      </c>
    </row>
    <row r="73" spans="1:8" x14ac:dyDescent="0.2">
      <c r="A73" s="35" t="s">
        <v>218</v>
      </c>
      <c r="B73" s="35"/>
      <c r="C73" s="35"/>
      <c r="D73" s="35"/>
      <c r="E73" s="35"/>
      <c r="F73" s="35"/>
      <c r="G73" s="35"/>
      <c r="H73" s="35"/>
    </row>
    <row r="74" spans="1:8" x14ac:dyDescent="0.2">
      <c r="A74" s="1" t="s">
        <v>219</v>
      </c>
    </row>
    <row r="75" spans="1:8" x14ac:dyDescent="0.2">
      <c r="A75" s="1" t="s">
        <v>220</v>
      </c>
    </row>
    <row r="77" spans="1:8" x14ac:dyDescent="0.2">
      <c r="A77" s="2" t="s">
        <v>27</v>
      </c>
    </row>
    <row r="78" spans="1:8" x14ac:dyDescent="0.2">
      <c r="A78" s="1" t="s">
        <v>221</v>
      </c>
    </row>
    <row r="81" spans="1:8" x14ac:dyDescent="0.2">
      <c r="E81" s="32" t="s">
        <v>177</v>
      </c>
    </row>
    <row r="82" spans="1:8" x14ac:dyDescent="0.2">
      <c r="A82" s="1" t="s">
        <v>213</v>
      </c>
      <c r="D82" s="12" t="s">
        <v>179</v>
      </c>
      <c r="E82" s="12" t="s">
        <v>178</v>
      </c>
    </row>
    <row r="83" spans="1:8" x14ac:dyDescent="0.2">
      <c r="A83" s="1" t="s">
        <v>181</v>
      </c>
      <c r="D83" s="70">
        <v>100</v>
      </c>
      <c r="E83" s="12" t="s">
        <v>45</v>
      </c>
      <c r="F83" s="1" t="s">
        <v>222</v>
      </c>
    </row>
    <row r="84" spans="1:8" x14ac:dyDescent="0.2">
      <c r="A84" s="1" t="s">
        <v>223</v>
      </c>
      <c r="D84" s="70">
        <v>4</v>
      </c>
      <c r="E84" s="12" t="s">
        <v>42</v>
      </c>
    </row>
    <row r="85" spans="1:8" x14ac:dyDescent="0.2">
      <c r="A85" s="1" t="s">
        <v>216</v>
      </c>
      <c r="D85" s="70">
        <v>-10</v>
      </c>
      <c r="E85" s="12" t="s">
        <v>39</v>
      </c>
    </row>
    <row r="86" spans="1:8" x14ac:dyDescent="0.2">
      <c r="A86" s="1" t="s">
        <v>217</v>
      </c>
      <c r="D86" s="70">
        <v>0</v>
      </c>
      <c r="E86" s="12" t="s">
        <v>47</v>
      </c>
    </row>
    <row r="87" spans="1:8" s="193" customFormat="1" x14ac:dyDescent="0.2">
      <c r="D87" s="204">
        <f>FV(D84/100,D83,D86,D85)</f>
        <v>505.04948184269637</v>
      </c>
      <c r="E87" s="70" t="s">
        <v>50</v>
      </c>
      <c r="F87" s="205" t="s">
        <v>51</v>
      </c>
    </row>
    <row r="89" spans="1:8" x14ac:dyDescent="0.2">
      <c r="A89" s="1" t="s">
        <v>224</v>
      </c>
    </row>
    <row r="90" spans="1:8" x14ac:dyDescent="0.2">
      <c r="A90" s="1" t="s">
        <v>225</v>
      </c>
    </row>
    <row r="91" spans="1:8" x14ac:dyDescent="0.2">
      <c r="A91" s="1" t="s">
        <v>226</v>
      </c>
    </row>
    <row r="92" spans="1:8" x14ac:dyDescent="0.2">
      <c r="A92" s="1" t="s">
        <v>227</v>
      </c>
    </row>
    <row r="94" spans="1:8" x14ac:dyDescent="0.2">
      <c r="A94" s="35" t="s">
        <v>228</v>
      </c>
      <c r="B94" s="35"/>
      <c r="C94" s="35"/>
      <c r="D94" s="35"/>
      <c r="E94" s="35"/>
      <c r="F94" s="35"/>
      <c r="G94" s="35"/>
      <c r="H94" s="35"/>
    </row>
    <row r="95" spans="1:8" x14ac:dyDescent="0.2">
      <c r="A95" s="1" t="s">
        <v>229</v>
      </c>
    </row>
    <row r="96" spans="1:8" x14ac:dyDescent="0.2">
      <c r="A96" s="1" t="s">
        <v>232</v>
      </c>
    </row>
    <row r="97" spans="1:8" x14ac:dyDescent="0.2">
      <c r="A97" s="1" t="s">
        <v>230</v>
      </c>
    </row>
    <row r="98" spans="1:8" x14ac:dyDescent="0.2">
      <c r="A98" s="1" t="s">
        <v>231</v>
      </c>
    </row>
    <row r="100" spans="1:8" x14ac:dyDescent="0.2">
      <c r="A100" s="2" t="s">
        <v>27</v>
      </c>
    </row>
    <row r="101" spans="1:8" x14ac:dyDescent="0.2">
      <c r="A101" s="1" t="s">
        <v>233</v>
      </c>
    </row>
    <row r="104" spans="1:8" x14ac:dyDescent="0.2">
      <c r="E104" s="32" t="s">
        <v>177</v>
      </c>
    </row>
    <row r="105" spans="1:8" x14ac:dyDescent="0.2">
      <c r="A105" s="1" t="s">
        <v>234</v>
      </c>
      <c r="D105" s="12" t="s">
        <v>179</v>
      </c>
      <c r="E105" s="12" t="s">
        <v>178</v>
      </c>
      <c r="F105" s="1" t="s">
        <v>1631</v>
      </c>
    </row>
    <row r="106" spans="1:8" x14ac:dyDescent="0.2">
      <c r="A106" s="1" t="s">
        <v>1632</v>
      </c>
      <c r="D106" s="12">
        <f>12*3</f>
        <v>36</v>
      </c>
      <c r="E106" s="12" t="s">
        <v>45</v>
      </c>
      <c r="F106" s="1" t="s">
        <v>1633</v>
      </c>
    </row>
    <row r="107" spans="1:8" x14ac:dyDescent="0.2">
      <c r="A107" s="1" t="s">
        <v>1634</v>
      </c>
      <c r="D107" s="12">
        <v>1</v>
      </c>
      <c r="E107" s="12" t="s">
        <v>42</v>
      </c>
      <c r="F107" s="1" t="s">
        <v>1635</v>
      </c>
    </row>
    <row r="108" spans="1:8" x14ac:dyDescent="0.2">
      <c r="A108" s="1" t="s">
        <v>235</v>
      </c>
      <c r="D108" s="12">
        <v>0</v>
      </c>
      <c r="E108" s="12" t="s">
        <v>39</v>
      </c>
    </row>
    <row r="109" spans="1:8" x14ac:dyDescent="0.2">
      <c r="A109" s="1" t="s">
        <v>236</v>
      </c>
      <c r="D109" s="12">
        <v>-2</v>
      </c>
      <c r="E109" s="12" t="s">
        <v>47</v>
      </c>
      <c r="F109" s="1" t="s">
        <v>1636</v>
      </c>
    </row>
    <row r="110" spans="1:8" x14ac:dyDescent="0.2">
      <c r="A110" s="2" t="s">
        <v>1637</v>
      </c>
      <c r="D110" s="37">
        <f>FV(D107/100,D106,D109,D108)</f>
        <v>86.153756718316203</v>
      </c>
      <c r="E110" s="12" t="s">
        <v>50</v>
      </c>
      <c r="F110" s="34" t="s">
        <v>51</v>
      </c>
    </row>
    <row r="112" spans="1:8" x14ac:dyDescent="0.2">
      <c r="A112" s="35" t="s">
        <v>237</v>
      </c>
      <c r="B112" s="35"/>
      <c r="C112" s="35"/>
      <c r="D112" s="35"/>
      <c r="E112" s="35"/>
      <c r="F112" s="35"/>
      <c r="G112" s="35"/>
      <c r="H112" s="35"/>
    </row>
    <row r="113" spans="1:8" x14ac:dyDescent="0.2">
      <c r="A113" s="1" t="s">
        <v>238</v>
      </c>
    </row>
    <row r="114" spans="1:8" x14ac:dyDescent="0.2">
      <c r="A114" s="1" t="s">
        <v>239</v>
      </c>
    </row>
    <row r="115" spans="1:8" x14ac:dyDescent="0.2">
      <c r="A115" s="1" t="s">
        <v>240</v>
      </c>
    </row>
    <row r="117" spans="1:8" x14ac:dyDescent="0.2">
      <c r="A117" s="2" t="s">
        <v>27</v>
      </c>
    </row>
    <row r="118" spans="1:8" x14ac:dyDescent="0.2">
      <c r="A118" s="1" t="s">
        <v>246</v>
      </c>
    </row>
    <row r="120" spans="1:8" x14ac:dyDescent="0.2">
      <c r="E120" s="32" t="s">
        <v>177</v>
      </c>
    </row>
    <row r="121" spans="1:8" x14ac:dyDescent="0.2">
      <c r="A121" s="1" t="s">
        <v>241</v>
      </c>
      <c r="D121" s="70" t="s">
        <v>179</v>
      </c>
      <c r="E121" s="12" t="s">
        <v>178</v>
      </c>
    </row>
    <row r="122" spans="1:8" x14ac:dyDescent="0.2">
      <c r="A122" s="1" t="s">
        <v>242</v>
      </c>
      <c r="D122" s="70">
        <v>4</v>
      </c>
      <c r="E122" s="12" t="s">
        <v>45</v>
      </c>
      <c r="F122" s="1" t="s">
        <v>247</v>
      </c>
    </row>
    <row r="123" spans="1:8" x14ac:dyDescent="0.2">
      <c r="A123" s="1" t="s">
        <v>243</v>
      </c>
      <c r="D123" s="70">
        <v>3</v>
      </c>
      <c r="E123" s="12" t="s">
        <v>42</v>
      </c>
      <c r="F123" s="1" t="s">
        <v>248</v>
      </c>
    </row>
    <row r="124" spans="1:8" x14ac:dyDescent="0.2">
      <c r="A124" s="1" t="s">
        <v>244</v>
      </c>
      <c r="D124" s="70">
        <v>-10000</v>
      </c>
      <c r="E124" s="12" t="s">
        <v>39</v>
      </c>
      <c r="F124" s="1" t="s">
        <v>249</v>
      </c>
    </row>
    <row r="125" spans="1:8" x14ac:dyDescent="0.2">
      <c r="A125" s="1" t="s">
        <v>245</v>
      </c>
      <c r="D125" s="70">
        <v>-7000</v>
      </c>
      <c r="E125" s="12" t="s">
        <v>47</v>
      </c>
      <c r="F125" s="1" t="s">
        <v>250</v>
      </c>
    </row>
    <row r="126" spans="1:8" x14ac:dyDescent="0.2">
      <c r="D126" s="204">
        <f>FV(D123/100,D122,D125,D124)</f>
        <v>40540.477099999982</v>
      </c>
      <c r="E126" s="12" t="s">
        <v>50</v>
      </c>
      <c r="F126" s="34" t="s">
        <v>51</v>
      </c>
    </row>
    <row r="128" spans="1:8" x14ac:dyDescent="0.2">
      <c r="A128" s="35" t="s">
        <v>251</v>
      </c>
      <c r="B128" s="35"/>
      <c r="C128" s="35"/>
      <c r="D128" s="35"/>
      <c r="E128" s="35"/>
      <c r="F128" s="35"/>
      <c r="G128" s="35"/>
      <c r="H128" s="35"/>
    </row>
    <row r="129" spans="1:8" x14ac:dyDescent="0.2">
      <c r="A129" s="1" t="s">
        <v>252</v>
      </c>
    </row>
    <row r="130" spans="1:8" x14ac:dyDescent="0.2">
      <c r="A130" s="1" t="s">
        <v>253</v>
      </c>
    </row>
    <row r="131" spans="1:8" x14ac:dyDescent="0.2">
      <c r="A131" s="1" t="s">
        <v>254</v>
      </c>
    </row>
    <row r="133" spans="1:8" x14ac:dyDescent="0.2">
      <c r="A133" s="2" t="s">
        <v>27</v>
      </c>
    </row>
    <row r="136" spans="1:8" x14ac:dyDescent="0.2">
      <c r="E136" s="32" t="s">
        <v>177</v>
      </c>
    </row>
    <row r="137" spans="1:8" x14ac:dyDescent="0.2">
      <c r="D137" s="12" t="s">
        <v>179</v>
      </c>
      <c r="E137" s="12" t="s">
        <v>178</v>
      </c>
    </row>
    <row r="138" spans="1:8" x14ac:dyDescent="0.2">
      <c r="A138" s="1" t="s">
        <v>114</v>
      </c>
      <c r="D138" s="70">
        <f>5*6</f>
        <v>30</v>
      </c>
      <c r="E138" s="12" t="s">
        <v>45</v>
      </c>
      <c r="F138" s="1" t="s">
        <v>258</v>
      </c>
    </row>
    <row r="139" spans="1:8" x14ac:dyDescent="0.2">
      <c r="A139" s="1" t="s">
        <v>257</v>
      </c>
      <c r="D139" s="70">
        <v>1</v>
      </c>
      <c r="E139" s="12" t="s">
        <v>42</v>
      </c>
    </row>
    <row r="140" spans="1:8" x14ac:dyDescent="0.2">
      <c r="A140" s="1" t="s">
        <v>111</v>
      </c>
      <c r="D140" s="70">
        <v>-150000</v>
      </c>
      <c r="E140" s="12" t="s">
        <v>39</v>
      </c>
    </row>
    <row r="141" spans="1:8" x14ac:dyDescent="0.2">
      <c r="A141" s="1" t="s">
        <v>255</v>
      </c>
      <c r="D141" s="70">
        <v>-4000</v>
      </c>
      <c r="E141" s="12" t="s">
        <v>47</v>
      </c>
      <c r="F141" s="1" t="s">
        <v>256</v>
      </c>
    </row>
    <row r="142" spans="1:8" x14ac:dyDescent="0.2">
      <c r="D142" s="204">
        <f>FV(D139/100,D138,D141,D140)</f>
        <v>341316.90343309846</v>
      </c>
      <c r="E142" s="12" t="s">
        <v>50</v>
      </c>
      <c r="F142" s="34" t="s">
        <v>51</v>
      </c>
    </row>
    <row r="144" spans="1:8" x14ac:dyDescent="0.2">
      <c r="A144" s="35" t="s">
        <v>259</v>
      </c>
      <c r="B144" s="35"/>
      <c r="C144" s="35"/>
      <c r="D144" s="35"/>
      <c r="E144" s="35"/>
      <c r="F144" s="35"/>
      <c r="G144" s="206" t="s">
        <v>1638</v>
      </c>
      <c r="H144" s="35"/>
    </row>
    <row r="145" spans="1:8" x14ac:dyDescent="0.2">
      <c r="A145" s="1" t="s">
        <v>260</v>
      </c>
    </row>
    <row r="146" spans="1:8" x14ac:dyDescent="0.2">
      <c r="A146" s="1" t="s">
        <v>261</v>
      </c>
    </row>
    <row r="147" spans="1:8" x14ac:dyDescent="0.2">
      <c r="A147" s="1" t="s">
        <v>262</v>
      </c>
    </row>
    <row r="149" spans="1:8" x14ac:dyDescent="0.2">
      <c r="A149" s="2" t="s">
        <v>27</v>
      </c>
    </row>
    <row r="152" spans="1:8" x14ac:dyDescent="0.2">
      <c r="E152" s="32" t="s">
        <v>177</v>
      </c>
    </row>
    <row r="153" spans="1:8" x14ac:dyDescent="0.2">
      <c r="D153" s="12" t="s">
        <v>179</v>
      </c>
      <c r="E153" s="12" t="s">
        <v>178</v>
      </c>
    </row>
    <row r="154" spans="1:8" x14ac:dyDescent="0.2">
      <c r="A154" s="1" t="s">
        <v>266</v>
      </c>
      <c r="D154" s="12">
        <v>24</v>
      </c>
      <c r="E154" s="12" t="s">
        <v>45</v>
      </c>
      <c r="F154" s="1" t="s">
        <v>265</v>
      </c>
    </row>
    <row r="155" spans="1:8" x14ac:dyDescent="0.2">
      <c r="A155" s="1" t="s">
        <v>264</v>
      </c>
      <c r="D155" s="12">
        <v>2</v>
      </c>
      <c r="E155" s="12" t="s">
        <v>42</v>
      </c>
    </row>
    <row r="156" spans="1:8" x14ac:dyDescent="0.2">
      <c r="A156" s="1" t="s">
        <v>111</v>
      </c>
      <c r="D156" s="12">
        <v>-20000</v>
      </c>
      <c r="E156" s="12" t="s">
        <v>39</v>
      </c>
    </row>
    <row r="157" spans="1:8" x14ac:dyDescent="0.2">
      <c r="A157" s="1" t="s">
        <v>263</v>
      </c>
      <c r="D157" s="12">
        <v>-5000</v>
      </c>
      <c r="E157" s="12" t="s">
        <v>47</v>
      </c>
    </row>
    <row r="158" spans="1:8" x14ac:dyDescent="0.2">
      <c r="D158" s="37">
        <f>FV(D155/100,D154,D157,D156)</f>
        <v>184278.05735831073</v>
      </c>
      <c r="E158" s="12" t="s">
        <v>50</v>
      </c>
      <c r="F158" s="34" t="s">
        <v>51</v>
      </c>
    </row>
    <row r="160" spans="1:8" x14ac:dyDescent="0.2">
      <c r="A160" s="38" t="s">
        <v>267</v>
      </c>
      <c r="B160" s="39"/>
      <c r="C160" s="39"/>
      <c r="D160" s="39"/>
      <c r="E160" s="39"/>
      <c r="F160" s="39"/>
      <c r="G160" s="39"/>
      <c r="H160" s="39"/>
    </row>
    <row r="162" spans="1:8" x14ac:dyDescent="0.2">
      <c r="A162" s="1" t="s">
        <v>268</v>
      </c>
    </row>
    <row r="163" spans="1:8" x14ac:dyDescent="0.2">
      <c r="A163" s="1" t="s">
        <v>269</v>
      </c>
    </row>
    <row r="164" spans="1:8" x14ac:dyDescent="0.2">
      <c r="A164" s="1" t="s">
        <v>270</v>
      </c>
    </row>
    <row r="166" spans="1:8" x14ac:dyDescent="0.2">
      <c r="A166" s="1" t="s">
        <v>271</v>
      </c>
    </row>
    <row r="167" spans="1:8" x14ac:dyDescent="0.2">
      <c r="A167" s="1" t="s">
        <v>272</v>
      </c>
    </row>
    <row r="168" spans="1:8" x14ac:dyDescent="0.2">
      <c r="A168" s="1" t="s">
        <v>273</v>
      </c>
    </row>
    <row r="169" spans="1:8" x14ac:dyDescent="0.2">
      <c r="A169" s="1" t="s">
        <v>274</v>
      </c>
    </row>
    <row r="170" spans="1:8" x14ac:dyDescent="0.2">
      <c r="A170" s="1" t="s">
        <v>275</v>
      </c>
    </row>
    <row r="172" spans="1:8" x14ac:dyDescent="0.2">
      <c r="A172" s="35" t="s">
        <v>276</v>
      </c>
      <c r="B172" s="35"/>
      <c r="C172" s="35"/>
      <c r="D172" s="35"/>
      <c r="E172" s="35"/>
      <c r="F172" s="35"/>
      <c r="G172" s="35"/>
      <c r="H172" s="35"/>
    </row>
    <row r="173" spans="1:8" x14ac:dyDescent="0.2">
      <c r="A173" s="1" t="s">
        <v>277</v>
      </c>
    </row>
    <row r="174" spans="1:8" x14ac:dyDescent="0.2">
      <c r="A174" s="1" t="s">
        <v>278</v>
      </c>
    </row>
    <row r="175" spans="1:8" x14ac:dyDescent="0.2">
      <c r="A175" s="1" t="s">
        <v>279</v>
      </c>
    </row>
    <row r="176" spans="1:8" x14ac:dyDescent="0.2">
      <c r="A176" s="1" t="s">
        <v>280</v>
      </c>
    </row>
    <row r="178" spans="1:8" x14ac:dyDescent="0.2">
      <c r="A178" s="1" t="s">
        <v>27</v>
      </c>
    </row>
    <row r="180" spans="1:8" x14ac:dyDescent="0.2">
      <c r="A180" s="1" t="s">
        <v>281</v>
      </c>
    </row>
    <row r="181" spans="1:8" x14ac:dyDescent="0.2">
      <c r="A181" s="1" t="s">
        <v>282</v>
      </c>
    </row>
    <row r="182" spans="1:8" x14ac:dyDescent="0.2">
      <c r="A182" s="1" t="s">
        <v>283</v>
      </c>
    </row>
    <row r="184" spans="1:8" x14ac:dyDescent="0.2">
      <c r="A184" s="1" t="s">
        <v>284</v>
      </c>
      <c r="B184" s="1" t="s">
        <v>285</v>
      </c>
    </row>
    <row r="185" spans="1:8" x14ac:dyDescent="0.2">
      <c r="A185" s="1" t="s">
        <v>286</v>
      </c>
      <c r="B185" s="1" t="s">
        <v>287</v>
      </c>
    </row>
    <row r="186" spans="1:8" x14ac:dyDescent="0.2">
      <c r="A186" s="1" t="s">
        <v>288</v>
      </c>
      <c r="B186" s="1" t="s">
        <v>289</v>
      </c>
    </row>
    <row r="188" spans="1:8" x14ac:dyDescent="0.2">
      <c r="D188" s="70" t="s">
        <v>292</v>
      </c>
      <c r="E188" s="70" t="s">
        <v>291</v>
      </c>
      <c r="F188" s="12" t="s">
        <v>290</v>
      </c>
      <c r="G188" s="32" t="s">
        <v>177</v>
      </c>
    </row>
    <row r="189" spans="1:8" x14ac:dyDescent="0.2">
      <c r="D189" s="70" t="s">
        <v>179</v>
      </c>
      <c r="E189" s="70" t="s">
        <v>179</v>
      </c>
      <c r="F189" s="12" t="s">
        <v>179</v>
      </c>
      <c r="G189" s="1" t="s">
        <v>178</v>
      </c>
      <c r="H189" s="1" t="s">
        <v>293</v>
      </c>
    </row>
    <row r="190" spans="1:8" x14ac:dyDescent="0.2">
      <c r="D190" s="70">
        <v>2</v>
      </c>
      <c r="E190" s="70">
        <v>6</v>
      </c>
      <c r="F190" s="12">
        <v>4</v>
      </c>
      <c r="G190" s="1" t="s">
        <v>45</v>
      </c>
      <c r="H190" s="1" t="s">
        <v>181</v>
      </c>
    </row>
    <row r="191" spans="1:8" x14ac:dyDescent="0.2">
      <c r="D191" s="70">
        <v>5</v>
      </c>
      <c r="E191" s="70">
        <v>2</v>
      </c>
      <c r="F191" s="12">
        <v>3</v>
      </c>
      <c r="G191" s="1" t="s">
        <v>42</v>
      </c>
      <c r="H191" s="1" t="s">
        <v>294</v>
      </c>
    </row>
    <row r="192" spans="1:8" x14ac:dyDescent="0.2">
      <c r="D192" s="80">
        <f>-E194</f>
        <v>-50700.228974901831</v>
      </c>
      <c r="E192" s="204">
        <f>-F194</f>
        <v>-45020.352399999996</v>
      </c>
      <c r="F192" s="12">
        <v>-40000</v>
      </c>
      <c r="G192" s="1" t="s">
        <v>39</v>
      </c>
      <c r="H192" s="1" t="s">
        <v>295</v>
      </c>
    </row>
    <row r="193" spans="1:8" ht="17" thickBot="1" x14ac:dyDescent="0.25">
      <c r="D193" s="70">
        <v>0</v>
      </c>
      <c r="E193" s="70">
        <v>0</v>
      </c>
      <c r="F193" s="12">
        <v>0</v>
      </c>
      <c r="G193" s="1" t="s">
        <v>47</v>
      </c>
      <c r="H193" s="1" t="s">
        <v>296</v>
      </c>
    </row>
    <row r="194" spans="1:8" ht="22" thickBot="1" x14ac:dyDescent="0.3">
      <c r="D194" s="208">
        <f>FV(D191/100,D190,D193,D192)</f>
        <v>55897.002444829268</v>
      </c>
      <c r="E194" s="207">
        <f>FV(E191/100,E190,E193,E192)</f>
        <v>50700.228974901831</v>
      </c>
      <c r="F194" s="37">
        <f>FV(F191/100,F190,F193,F192)</f>
        <v>45020.352399999996</v>
      </c>
      <c r="G194" s="1" t="s">
        <v>50</v>
      </c>
      <c r="H194" s="40" t="s">
        <v>51</v>
      </c>
    </row>
    <row r="195" spans="1:8" ht="21" x14ac:dyDescent="0.25">
      <c r="D195" s="43" t="s">
        <v>297</v>
      </c>
      <c r="E195" s="1" t="s">
        <v>1640</v>
      </c>
      <c r="F195" s="12" t="s">
        <v>1639</v>
      </c>
    </row>
    <row r="196" spans="1:8" x14ac:dyDescent="0.2">
      <c r="D196" s="1" t="s">
        <v>1641</v>
      </c>
    </row>
    <row r="198" spans="1:8" x14ac:dyDescent="0.2">
      <c r="A198" s="1" t="s">
        <v>298</v>
      </c>
    </row>
    <row r="200" spans="1:8" x14ac:dyDescent="0.2">
      <c r="A200" s="210" t="s">
        <v>1642</v>
      </c>
      <c r="B200" s="209"/>
      <c r="C200" s="209"/>
      <c r="D200" s="209"/>
      <c r="E200" s="209"/>
      <c r="F200" s="209"/>
      <c r="G200" s="209"/>
    </row>
    <row r="201" spans="1:8" x14ac:dyDescent="0.2">
      <c r="A201" s="1" t="s">
        <v>1643</v>
      </c>
    </row>
    <row r="202" spans="1:8" x14ac:dyDescent="0.2">
      <c r="A202" s="1" t="s">
        <v>1644</v>
      </c>
    </row>
    <row r="203" spans="1:8" x14ac:dyDescent="0.2">
      <c r="A203" s="1" t="s">
        <v>1645</v>
      </c>
    </row>
    <row r="204" spans="1:8" x14ac:dyDescent="0.2">
      <c r="A204" s="1" t="s">
        <v>1646</v>
      </c>
    </row>
    <row r="205" spans="1:8" x14ac:dyDescent="0.2">
      <c r="A205" s="1" t="s">
        <v>1647</v>
      </c>
    </row>
    <row r="207" spans="1:8" x14ac:dyDescent="0.2">
      <c r="D207" s="12" t="s">
        <v>317</v>
      </c>
      <c r="E207" s="12" t="s">
        <v>317</v>
      </c>
      <c r="F207" s="12" t="s">
        <v>368</v>
      </c>
    </row>
    <row r="208" spans="1:8" x14ac:dyDescent="0.2">
      <c r="A208" s="1" t="s">
        <v>1648</v>
      </c>
      <c r="D208" s="59" t="s">
        <v>292</v>
      </c>
      <c r="E208" s="59" t="s">
        <v>291</v>
      </c>
      <c r="F208" s="59" t="s">
        <v>290</v>
      </c>
    </row>
    <row r="209" spans="1:8" x14ac:dyDescent="0.2">
      <c r="A209" s="1" t="s">
        <v>1649</v>
      </c>
      <c r="D209" s="12" t="s">
        <v>179</v>
      </c>
      <c r="E209" s="12" t="s">
        <v>179</v>
      </c>
      <c r="F209" s="12" t="s">
        <v>179</v>
      </c>
      <c r="G209" s="1" t="s">
        <v>178</v>
      </c>
    </row>
    <row r="210" spans="1:8" x14ac:dyDescent="0.2">
      <c r="B210" s="12" t="s">
        <v>1651</v>
      </c>
      <c r="D210" s="12">
        <v>8</v>
      </c>
      <c r="E210" s="12">
        <v>4</v>
      </c>
      <c r="F210" s="12">
        <v>24</v>
      </c>
      <c r="G210" s="1" t="s">
        <v>45</v>
      </c>
    </row>
    <row r="211" spans="1:8" x14ac:dyDescent="0.2">
      <c r="D211" s="12">
        <v>1</v>
      </c>
      <c r="E211" s="12">
        <v>3</v>
      </c>
      <c r="F211" s="12">
        <v>1</v>
      </c>
      <c r="G211" s="1" t="s">
        <v>42</v>
      </c>
    </row>
    <row r="212" spans="1:8" x14ac:dyDescent="0.2">
      <c r="D212" s="211">
        <f>-E214</f>
        <v>-28581.950665698474</v>
      </c>
      <c r="E212" s="66">
        <f>-F214</f>
        <v>-25394.692970638298</v>
      </c>
      <c r="F212" s="71">
        <v>-20000</v>
      </c>
      <c r="G212" s="1" t="s">
        <v>39</v>
      </c>
    </row>
    <row r="213" spans="1:8" x14ac:dyDescent="0.2">
      <c r="C213" s="33" t="s">
        <v>1650</v>
      </c>
      <c r="D213" s="71">
        <v>0</v>
      </c>
      <c r="E213" s="71">
        <v>0</v>
      </c>
      <c r="F213" s="71">
        <v>0</v>
      </c>
      <c r="G213" s="1" t="s">
        <v>47</v>
      </c>
    </row>
    <row r="214" spans="1:8" x14ac:dyDescent="0.2">
      <c r="D214" s="63">
        <f>FV(D211/100,D210,D213,D212)</f>
        <v>30950.156938282566</v>
      </c>
      <c r="E214" s="211">
        <f>FV(E211/100,E210,E213,E212)</f>
        <v>28581.950665698474</v>
      </c>
      <c r="F214" s="66">
        <f>FV(F211/100,F210,F213,F212)</f>
        <v>25394.692970638298</v>
      </c>
      <c r="G214" s="1" t="s">
        <v>50</v>
      </c>
    </row>
    <row r="215" spans="1:8" x14ac:dyDescent="0.2">
      <c r="D215" s="12" t="s">
        <v>297</v>
      </c>
    </row>
    <row r="222" spans="1:8" x14ac:dyDescent="0.2">
      <c r="A222" s="35" t="s">
        <v>299</v>
      </c>
      <c r="B222" s="35"/>
      <c r="C222" s="35"/>
      <c r="D222" s="35"/>
      <c r="E222" s="35"/>
      <c r="F222" s="206" t="s">
        <v>1638</v>
      </c>
      <c r="G222" s="35"/>
      <c r="H222" s="35"/>
    </row>
    <row r="223" spans="1:8" x14ac:dyDescent="0.2">
      <c r="A223" s="1" t="s">
        <v>300</v>
      </c>
    </row>
    <row r="224" spans="1:8" x14ac:dyDescent="0.2">
      <c r="A224" s="1" t="s">
        <v>301</v>
      </c>
    </row>
    <row r="225" spans="1:8" x14ac:dyDescent="0.2">
      <c r="A225" s="1" t="s">
        <v>302</v>
      </c>
    </row>
    <row r="226" spans="1:8" x14ac:dyDescent="0.2">
      <c r="A226" s="1" t="s">
        <v>303</v>
      </c>
    </row>
    <row r="227" spans="1:8" x14ac:dyDescent="0.2">
      <c r="A227" s="1" t="s">
        <v>304</v>
      </c>
    </row>
    <row r="229" spans="1:8" x14ac:dyDescent="0.2">
      <c r="A229" s="1" t="s">
        <v>27</v>
      </c>
    </row>
    <row r="230" spans="1:8" x14ac:dyDescent="0.2">
      <c r="C230" s="12" t="s">
        <v>307</v>
      </c>
      <c r="D230" s="12" t="s">
        <v>306</v>
      </c>
      <c r="E230" s="12" t="s">
        <v>305</v>
      </c>
    </row>
    <row r="231" spans="1:8" x14ac:dyDescent="0.2">
      <c r="C231" s="12" t="s">
        <v>292</v>
      </c>
      <c r="D231" s="12" t="s">
        <v>291</v>
      </c>
      <c r="E231" s="12" t="s">
        <v>290</v>
      </c>
      <c r="F231" s="32" t="s">
        <v>177</v>
      </c>
    </row>
    <row r="232" spans="1:8" x14ac:dyDescent="0.2">
      <c r="C232" s="12" t="s">
        <v>179</v>
      </c>
      <c r="D232" s="12" t="s">
        <v>179</v>
      </c>
      <c r="E232" s="12" t="s">
        <v>179</v>
      </c>
      <c r="F232" s="1" t="s">
        <v>178</v>
      </c>
    </row>
    <row r="233" spans="1:8" x14ac:dyDescent="0.2">
      <c r="C233" s="12">
        <f>8*4</f>
        <v>32</v>
      </c>
      <c r="D233" s="12">
        <f>5*2</f>
        <v>10</v>
      </c>
      <c r="E233" s="12">
        <v>7</v>
      </c>
      <c r="F233" s="1" t="s">
        <v>45</v>
      </c>
    </row>
    <row r="234" spans="1:8" x14ac:dyDescent="0.2">
      <c r="C234" s="12">
        <v>1</v>
      </c>
      <c r="D234" s="12">
        <v>3</v>
      </c>
      <c r="E234" s="12">
        <v>4</v>
      </c>
      <c r="F234" s="1" t="s">
        <v>42</v>
      </c>
    </row>
    <row r="235" spans="1:8" x14ac:dyDescent="0.2">
      <c r="C235" s="45">
        <f>-D237</f>
        <v>-176850.22722144987</v>
      </c>
      <c r="D235" s="42">
        <f>-E237</f>
        <v>-131593.17792358404</v>
      </c>
      <c r="E235" s="12">
        <v>-100000</v>
      </c>
      <c r="F235" s="1" t="s">
        <v>39</v>
      </c>
    </row>
    <row r="236" spans="1:8" ht="17" thickBot="1" x14ac:dyDescent="0.25">
      <c r="C236" s="12">
        <v>0</v>
      </c>
      <c r="D236" s="12">
        <v>0</v>
      </c>
      <c r="E236" s="12">
        <v>0</v>
      </c>
      <c r="F236" s="1" t="s">
        <v>47</v>
      </c>
    </row>
    <row r="237" spans="1:8" x14ac:dyDescent="0.2">
      <c r="C237" s="46">
        <f>FV(C234/100,C233,C236,C235)</f>
        <v>243158.57141423906</v>
      </c>
      <c r="D237" s="45">
        <f>FV(D234/100,D233,D236,D235)</f>
        <v>176850.22722144987</v>
      </c>
      <c r="E237" s="41">
        <f>FV(E234/100,E233,E236,E235)</f>
        <v>131593.17792358404</v>
      </c>
      <c r="F237" s="1" t="s">
        <v>50</v>
      </c>
      <c r="G237" s="1" t="s">
        <v>51</v>
      </c>
    </row>
    <row r="238" spans="1:8" ht="17" thickBot="1" x14ac:dyDescent="0.25">
      <c r="C238" s="44" t="s">
        <v>297</v>
      </c>
      <c r="D238" s="12"/>
      <c r="E238" s="12"/>
    </row>
    <row r="240" spans="1:8" x14ac:dyDescent="0.2">
      <c r="A240" s="35" t="s">
        <v>308</v>
      </c>
      <c r="B240" s="35"/>
      <c r="C240" s="35"/>
      <c r="D240" s="35"/>
      <c r="E240" s="35"/>
      <c r="F240" s="35"/>
      <c r="G240" s="35"/>
      <c r="H240" s="35"/>
    </row>
    <row r="241" spans="1:7" x14ac:dyDescent="0.2">
      <c r="A241" s="1" t="s">
        <v>309</v>
      </c>
    </row>
    <row r="242" spans="1:7" x14ac:dyDescent="0.2">
      <c r="A242" s="1" t="s">
        <v>310</v>
      </c>
    </row>
    <row r="243" spans="1:7" x14ac:dyDescent="0.2">
      <c r="A243" s="1" t="s">
        <v>311</v>
      </c>
    </row>
    <row r="244" spans="1:7" x14ac:dyDescent="0.2">
      <c r="A244" s="1" t="s">
        <v>312</v>
      </c>
    </row>
    <row r="245" spans="1:7" x14ac:dyDescent="0.2">
      <c r="A245" s="1" t="s">
        <v>313</v>
      </c>
    </row>
    <row r="247" spans="1:7" x14ac:dyDescent="0.2">
      <c r="A247" s="1" t="s">
        <v>27</v>
      </c>
    </row>
    <row r="248" spans="1:7" x14ac:dyDescent="0.2">
      <c r="C248" s="12" t="s">
        <v>318</v>
      </c>
      <c r="D248" s="12" t="s">
        <v>317</v>
      </c>
      <c r="E248" s="12" t="s">
        <v>316</v>
      </c>
    </row>
    <row r="249" spans="1:7" x14ac:dyDescent="0.2">
      <c r="C249" s="12" t="s">
        <v>306</v>
      </c>
      <c r="D249" s="12" t="s">
        <v>315</v>
      </c>
      <c r="E249" s="12" t="s">
        <v>314</v>
      </c>
    </row>
    <row r="250" spans="1:7" x14ac:dyDescent="0.2">
      <c r="C250" s="12" t="s">
        <v>292</v>
      </c>
      <c r="D250" s="12" t="s">
        <v>291</v>
      </c>
      <c r="E250" s="12" t="s">
        <v>290</v>
      </c>
      <c r="F250" s="32" t="s">
        <v>177</v>
      </c>
    </row>
    <row r="251" spans="1:7" x14ac:dyDescent="0.2">
      <c r="C251" s="12" t="s">
        <v>179</v>
      </c>
      <c r="D251" s="12" t="s">
        <v>179</v>
      </c>
      <c r="E251" s="12" t="s">
        <v>179</v>
      </c>
      <c r="F251" s="1" t="s">
        <v>178</v>
      </c>
    </row>
    <row r="252" spans="1:7" x14ac:dyDescent="0.2">
      <c r="C252" s="70">
        <f>5*12</f>
        <v>60</v>
      </c>
      <c r="D252" s="70">
        <f>4*12</f>
        <v>48</v>
      </c>
      <c r="E252" s="70">
        <f>3*12</f>
        <v>36</v>
      </c>
      <c r="F252" s="1" t="s">
        <v>45</v>
      </c>
    </row>
    <row r="253" spans="1:7" x14ac:dyDescent="0.2">
      <c r="C253" s="70">
        <v>0.5</v>
      </c>
      <c r="D253" s="70">
        <v>0.5</v>
      </c>
      <c r="E253" s="70">
        <v>0.5</v>
      </c>
      <c r="F253" s="1" t="s">
        <v>42</v>
      </c>
    </row>
    <row r="254" spans="1:7" x14ac:dyDescent="0.2">
      <c r="C254" s="212">
        <f>-D256</f>
        <v>-51058.051641720835</v>
      </c>
      <c r="D254" s="80">
        <f>-E256</f>
        <v>-39336.104964682541</v>
      </c>
      <c r="E254" s="70">
        <v>0</v>
      </c>
      <c r="F254" s="1" t="s">
        <v>39</v>
      </c>
    </row>
    <row r="255" spans="1:7" ht="17" thickBot="1" x14ac:dyDescent="0.25">
      <c r="C255" s="70">
        <v>-5000</v>
      </c>
      <c r="D255" s="70">
        <v>-20</v>
      </c>
      <c r="E255" s="70">
        <v>-1000</v>
      </c>
      <c r="F255" s="1" t="s">
        <v>47</v>
      </c>
    </row>
    <row r="256" spans="1:7" ht="18" x14ac:dyDescent="0.2">
      <c r="C256" s="213">
        <f>FV(C253/100,C252,C255,C254)</f>
        <v>417719.81329510908</v>
      </c>
      <c r="D256" s="212">
        <f>FV(D253/100,D252,D255,D254)</f>
        <v>51058.051641720835</v>
      </c>
      <c r="E256" s="207">
        <f>FV(E253/100,E252,E255,E254)</f>
        <v>39336.104964682541</v>
      </c>
      <c r="F256" s="1" t="s">
        <v>50</v>
      </c>
      <c r="G256" s="1" t="s">
        <v>51</v>
      </c>
    </row>
    <row r="257" spans="1:8" ht="19" thickBot="1" x14ac:dyDescent="0.25">
      <c r="C257" s="48" t="s">
        <v>297</v>
      </c>
      <c r="D257" s="12"/>
      <c r="E257" s="12"/>
    </row>
    <row r="258" spans="1:8" ht="17" thickBot="1" x14ac:dyDescent="0.25"/>
    <row r="259" spans="1:8" x14ac:dyDescent="0.2">
      <c r="A259" s="21" t="s">
        <v>319</v>
      </c>
      <c r="B259" s="31"/>
      <c r="C259" s="31"/>
      <c r="D259" s="31"/>
      <c r="E259" s="31"/>
      <c r="F259" s="31"/>
      <c r="G259" s="31"/>
      <c r="H259" s="23"/>
    </row>
    <row r="260" spans="1:8" x14ac:dyDescent="0.2">
      <c r="A260" s="24" t="s">
        <v>320</v>
      </c>
      <c r="H260" s="25"/>
    </row>
    <row r="261" spans="1:8" x14ac:dyDescent="0.2">
      <c r="A261" s="24" t="s">
        <v>321</v>
      </c>
      <c r="H261" s="25"/>
    </row>
    <row r="262" spans="1:8" x14ac:dyDescent="0.2">
      <c r="A262" s="24" t="s">
        <v>322</v>
      </c>
      <c r="H262" s="25"/>
    </row>
    <row r="263" spans="1:8" x14ac:dyDescent="0.2">
      <c r="A263" s="24" t="s">
        <v>323</v>
      </c>
      <c r="H263" s="25"/>
    </row>
    <row r="264" spans="1:8" x14ac:dyDescent="0.2">
      <c r="A264" s="24"/>
      <c r="H264" s="25"/>
    </row>
    <row r="265" spans="1:8" x14ac:dyDescent="0.2">
      <c r="A265" s="24"/>
      <c r="H265" s="25"/>
    </row>
    <row r="266" spans="1:8" ht="17" thickBot="1" x14ac:dyDescent="0.25">
      <c r="A266" s="26"/>
      <c r="B266" s="27"/>
      <c r="C266" s="27"/>
      <c r="D266" s="27"/>
      <c r="E266" s="27"/>
      <c r="F266" s="27"/>
      <c r="G266" s="27"/>
      <c r="H266" s="28"/>
    </row>
    <row r="268" spans="1:8" x14ac:dyDescent="0.2">
      <c r="A268" s="214" t="s">
        <v>1652</v>
      </c>
      <c r="B268" s="214"/>
      <c r="C268" s="214"/>
      <c r="D268" s="214"/>
      <c r="E268" s="214"/>
      <c r="F268" s="214"/>
      <c r="G268" s="214"/>
      <c r="H268" s="214"/>
    </row>
    <row r="269" spans="1:8" x14ac:dyDescent="0.2">
      <c r="A269" s="1" t="s">
        <v>1653</v>
      </c>
    </row>
    <row r="270" spans="1:8" x14ac:dyDescent="0.2">
      <c r="A270" s="1" t="s">
        <v>1654</v>
      </c>
    </row>
    <row r="271" spans="1:8" x14ac:dyDescent="0.2">
      <c r="A271" s="1" t="s">
        <v>1655</v>
      </c>
    </row>
    <row r="272" spans="1:8" x14ac:dyDescent="0.2">
      <c r="A272" s="1" t="s">
        <v>1656</v>
      </c>
    </row>
    <row r="273" spans="1:8" x14ac:dyDescent="0.2">
      <c r="A273" s="1" t="s">
        <v>1658</v>
      </c>
    </row>
    <row r="274" spans="1:8" x14ac:dyDescent="0.2">
      <c r="A274" s="1" t="s">
        <v>1657</v>
      </c>
    </row>
    <row r="276" spans="1:8" x14ac:dyDescent="0.2">
      <c r="D276" s="59" t="s">
        <v>292</v>
      </c>
      <c r="E276" s="59" t="s">
        <v>291</v>
      </c>
      <c r="F276" s="59" t="s">
        <v>290</v>
      </c>
    </row>
    <row r="277" spans="1:8" x14ac:dyDescent="0.2">
      <c r="D277" s="12" t="s">
        <v>179</v>
      </c>
      <c r="E277" s="12" t="s">
        <v>179</v>
      </c>
      <c r="F277" s="12" t="s">
        <v>179</v>
      </c>
      <c r="G277" s="1" t="s">
        <v>178</v>
      </c>
    </row>
    <row r="278" spans="1:8" x14ac:dyDescent="0.2">
      <c r="D278" s="12">
        <f>5*1</f>
        <v>5</v>
      </c>
      <c r="E278" s="12">
        <f>6*4</f>
        <v>24</v>
      </c>
      <c r="F278" s="12">
        <f>4*2</f>
        <v>8</v>
      </c>
      <c r="G278" s="1" t="s">
        <v>45</v>
      </c>
    </row>
    <row r="279" spans="1:8" x14ac:dyDescent="0.2">
      <c r="D279" s="12">
        <v>5</v>
      </c>
      <c r="E279" s="12">
        <v>2</v>
      </c>
      <c r="F279" s="12">
        <v>3</v>
      </c>
      <c r="G279" s="1" t="s">
        <v>42</v>
      </c>
    </row>
    <row r="280" spans="1:8" x14ac:dyDescent="0.2">
      <c r="D280" s="71">
        <f>-E282</f>
        <v>-75146.489479168464</v>
      </c>
      <c r="E280" s="71">
        <f>-F282</f>
        <v>-8892.3360462538658</v>
      </c>
      <c r="F280" s="71">
        <v>0</v>
      </c>
      <c r="G280" s="1" t="s">
        <v>39</v>
      </c>
    </row>
    <row r="281" spans="1:8" x14ac:dyDescent="0.2">
      <c r="D281" s="71">
        <v>-4000</v>
      </c>
      <c r="E281" s="71">
        <v>-2000</v>
      </c>
      <c r="F281" s="71">
        <v>-1000</v>
      </c>
      <c r="G281" s="1" t="s">
        <v>47</v>
      </c>
    </row>
    <row r="282" spans="1:8" x14ac:dyDescent="0.2">
      <c r="D282" s="215">
        <f>FV(D279/100,D278,D281,D280)</f>
        <v>118010.60400886295</v>
      </c>
      <c r="E282" s="71">
        <f>FV(E279/100,E278,E281,E280)</f>
        <v>75146.489479168464</v>
      </c>
      <c r="F282" s="71">
        <f>FV(F279/100,F278,F281,F280)</f>
        <v>8892.3360462538658</v>
      </c>
      <c r="G282" s="1" t="s">
        <v>50</v>
      </c>
    </row>
    <row r="284" spans="1:8" x14ac:dyDescent="0.2">
      <c r="A284" s="214" t="s">
        <v>1652</v>
      </c>
      <c r="B284" s="214"/>
      <c r="C284" s="214"/>
      <c r="D284" s="214"/>
      <c r="E284" s="214"/>
      <c r="F284" s="214"/>
      <c r="G284" s="214"/>
      <c r="H284" s="214"/>
    </row>
    <row r="285" spans="1:8" x14ac:dyDescent="0.2">
      <c r="A285" s="1" t="s">
        <v>1659</v>
      </c>
    </row>
    <row r="286" spans="1:8" x14ac:dyDescent="0.2">
      <c r="A286" s="1" t="s">
        <v>1660</v>
      </c>
    </row>
    <row r="287" spans="1:8" x14ac:dyDescent="0.2">
      <c r="A287" s="1" t="s">
        <v>1661</v>
      </c>
    </row>
    <row r="288" spans="1:8" x14ac:dyDescent="0.2">
      <c r="A288" s="1" t="s">
        <v>1662</v>
      </c>
    </row>
    <row r="289" spans="1:9" x14ac:dyDescent="0.2">
      <c r="H289" s="1" t="s">
        <v>1663</v>
      </c>
    </row>
    <row r="290" spans="1:9" x14ac:dyDescent="0.2">
      <c r="D290" s="59" t="s">
        <v>291</v>
      </c>
      <c r="E290" s="59" t="s">
        <v>290</v>
      </c>
      <c r="H290" s="1" t="s">
        <v>1664</v>
      </c>
    </row>
    <row r="291" spans="1:9" x14ac:dyDescent="0.2">
      <c r="D291" s="12" t="s">
        <v>179</v>
      </c>
      <c r="E291" s="12" t="s">
        <v>179</v>
      </c>
      <c r="F291" s="1" t="s">
        <v>178</v>
      </c>
      <c r="H291" s="1" t="s">
        <v>1665</v>
      </c>
    </row>
    <row r="292" spans="1:9" x14ac:dyDescent="0.2">
      <c r="D292" s="12">
        <f>2*12</f>
        <v>24</v>
      </c>
      <c r="E292" s="12">
        <f>4*12</f>
        <v>48</v>
      </c>
      <c r="F292" s="1" t="s">
        <v>45</v>
      </c>
    </row>
    <row r="293" spans="1:9" x14ac:dyDescent="0.2">
      <c r="D293" s="12">
        <v>1</v>
      </c>
      <c r="E293" s="12">
        <v>1</v>
      </c>
      <c r="F293" s="1" t="s">
        <v>42</v>
      </c>
    </row>
    <row r="294" spans="1:9" x14ac:dyDescent="0.2">
      <c r="D294" s="36">
        <f>-E296</f>
        <v>-61222.607768246526</v>
      </c>
      <c r="E294" s="12">
        <v>0</v>
      </c>
      <c r="F294" s="1" t="s">
        <v>39</v>
      </c>
    </row>
    <row r="295" spans="1:9" x14ac:dyDescent="0.2">
      <c r="D295" s="12">
        <v>0</v>
      </c>
      <c r="E295" s="12">
        <v>-1000</v>
      </c>
      <c r="F295" s="1" t="s">
        <v>47</v>
      </c>
      <c r="I295" s="1" t="s">
        <v>1666</v>
      </c>
    </row>
    <row r="296" spans="1:9" x14ac:dyDescent="0.2">
      <c r="A296" s="1" t="s">
        <v>1671</v>
      </c>
      <c r="D296" s="42">
        <f>FV(D293/100,D292,D295,D294)</f>
        <v>77736.466356821795</v>
      </c>
      <c r="E296" s="36">
        <f>FV(E293/100,E292,E295,E294)</f>
        <v>61222.607768246526</v>
      </c>
      <c r="F296" s="1" t="s">
        <v>50</v>
      </c>
    </row>
    <row r="297" spans="1:9" x14ac:dyDescent="0.2">
      <c r="A297" s="1" t="s">
        <v>1667</v>
      </c>
    </row>
    <row r="298" spans="1:9" x14ac:dyDescent="0.2">
      <c r="A298" s="1" t="s">
        <v>1668</v>
      </c>
    </row>
    <row r="299" spans="1:9" x14ac:dyDescent="0.2">
      <c r="A299" s="1" t="s">
        <v>294</v>
      </c>
    </row>
    <row r="300" spans="1:9" x14ac:dyDescent="0.2">
      <c r="A300" s="1" t="s">
        <v>1669</v>
      </c>
    </row>
    <row r="301" spans="1:9" x14ac:dyDescent="0.2">
      <c r="A301" s="1" t="s">
        <v>1670</v>
      </c>
    </row>
    <row r="309" spans="1:8" x14ac:dyDescent="0.2">
      <c r="A309" s="49" t="s">
        <v>324</v>
      </c>
      <c r="B309" s="49"/>
      <c r="C309" s="49"/>
      <c r="D309" s="49"/>
      <c r="E309" s="49"/>
      <c r="F309" s="49"/>
      <c r="G309" s="49"/>
      <c r="H309" s="49"/>
    </row>
    <row r="311" spans="1:8" x14ac:dyDescent="0.2">
      <c r="A311" s="50" t="s">
        <v>200</v>
      </c>
      <c r="B311" s="50"/>
      <c r="C311" s="50"/>
      <c r="D311" s="50"/>
      <c r="E311" s="50"/>
      <c r="F311" s="50"/>
      <c r="G311" s="50"/>
      <c r="H311" s="50"/>
    </row>
    <row r="312" spans="1:8" x14ac:dyDescent="0.2">
      <c r="A312" s="1" t="s">
        <v>325</v>
      </c>
    </row>
    <row r="313" spans="1:8" x14ac:dyDescent="0.2">
      <c r="A313" s="1" t="s">
        <v>326</v>
      </c>
    </row>
    <row r="315" spans="1:8" x14ac:dyDescent="0.2">
      <c r="A315" s="1" t="s">
        <v>27</v>
      </c>
    </row>
    <row r="317" spans="1:8" x14ac:dyDescent="0.2">
      <c r="C317" s="12"/>
      <c r="D317" s="32" t="s">
        <v>177</v>
      </c>
    </row>
    <row r="318" spans="1:8" x14ac:dyDescent="0.2">
      <c r="C318" s="12" t="s">
        <v>179</v>
      </c>
      <c r="D318" s="1" t="s">
        <v>178</v>
      </c>
    </row>
    <row r="319" spans="1:8" x14ac:dyDescent="0.2">
      <c r="C319" s="12">
        <v>8</v>
      </c>
      <c r="D319" s="1" t="s">
        <v>45</v>
      </c>
    </row>
    <row r="320" spans="1:8" x14ac:dyDescent="0.2">
      <c r="C320" s="12">
        <v>5</v>
      </c>
      <c r="D320" s="1" t="s">
        <v>42</v>
      </c>
    </row>
    <row r="321" spans="1:8" x14ac:dyDescent="0.2">
      <c r="C321" s="12">
        <v>-50000</v>
      </c>
      <c r="D321" s="1" t="s">
        <v>39</v>
      </c>
    </row>
    <row r="322" spans="1:8" x14ac:dyDescent="0.2">
      <c r="C322" s="12">
        <v>0</v>
      </c>
      <c r="D322" s="1" t="s">
        <v>47</v>
      </c>
    </row>
    <row r="323" spans="1:8" x14ac:dyDescent="0.2">
      <c r="C323" s="41">
        <f>FV(C320/100,C319,C322,C321)</f>
        <v>73872.772189453128</v>
      </c>
      <c r="D323" s="1" t="s">
        <v>50</v>
      </c>
    </row>
    <row r="325" spans="1:8" x14ac:dyDescent="0.2">
      <c r="A325" s="50" t="s">
        <v>327</v>
      </c>
      <c r="B325" s="50"/>
      <c r="C325" s="50"/>
      <c r="D325" s="50"/>
      <c r="E325" s="50"/>
      <c r="F325" s="50"/>
      <c r="G325" s="50"/>
      <c r="H325" s="50"/>
    </row>
    <row r="326" spans="1:8" x14ac:dyDescent="0.2">
      <c r="A326" s="1" t="s">
        <v>1672</v>
      </c>
    </row>
    <row r="327" spans="1:8" x14ac:dyDescent="0.2">
      <c r="A327" s="1" t="s">
        <v>326</v>
      </c>
    </row>
    <row r="329" spans="1:8" x14ac:dyDescent="0.2">
      <c r="A329" s="1" t="s">
        <v>27</v>
      </c>
    </row>
    <row r="331" spans="1:8" x14ac:dyDescent="0.2">
      <c r="C331" s="12"/>
      <c r="D331" s="32" t="s">
        <v>177</v>
      </c>
    </row>
    <row r="332" spans="1:8" x14ac:dyDescent="0.2">
      <c r="C332" s="12" t="s">
        <v>179</v>
      </c>
      <c r="D332" s="1" t="s">
        <v>178</v>
      </c>
    </row>
    <row r="333" spans="1:8" x14ac:dyDescent="0.2">
      <c r="C333" s="12">
        <f>8*4</f>
        <v>32</v>
      </c>
      <c r="D333" s="1" t="s">
        <v>45</v>
      </c>
      <c r="E333" s="1" t="s">
        <v>328</v>
      </c>
    </row>
    <row r="334" spans="1:8" x14ac:dyDescent="0.2">
      <c r="C334" s="12">
        <v>2</v>
      </c>
      <c r="D334" s="1" t="s">
        <v>42</v>
      </c>
    </row>
    <row r="335" spans="1:8" x14ac:dyDescent="0.2">
      <c r="C335" s="12">
        <v>-50000</v>
      </c>
      <c r="D335" s="1" t="s">
        <v>39</v>
      </c>
    </row>
    <row r="336" spans="1:8" x14ac:dyDescent="0.2">
      <c r="C336" s="12">
        <v>0</v>
      </c>
      <c r="D336" s="1" t="s">
        <v>47</v>
      </c>
    </row>
    <row r="337" spans="1:8" x14ac:dyDescent="0.2">
      <c r="C337" s="41">
        <f>FV(C334/100,C333,C336,C335)</f>
        <v>94227.02960505645</v>
      </c>
      <c r="D337" s="1" t="s">
        <v>50</v>
      </c>
    </row>
    <row r="339" spans="1:8" x14ac:dyDescent="0.2">
      <c r="A339" s="50" t="s">
        <v>329</v>
      </c>
      <c r="B339" s="50"/>
      <c r="C339" s="50"/>
      <c r="D339" s="50"/>
      <c r="E339" s="50"/>
      <c r="F339" s="50"/>
      <c r="G339" s="50"/>
      <c r="H339" s="50"/>
    </row>
    <row r="340" spans="1:8" x14ac:dyDescent="0.2">
      <c r="A340" s="1" t="s">
        <v>331</v>
      </c>
    </row>
    <row r="341" spans="1:8" x14ac:dyDescent="0.2">
      <c r="A341" s="1" t="s">
        <v>330</v>
      </c>
    </row>
    <row r="343" spans="1:8" x14ac:dyDescent="0.2">
      <c r="A343" s="1" t="s">
        <v>27</v>
      </c>
    </row>
    <row r="345" spans="1:8" x14ac:dyDescent="0.2">
      <c r="C345" s="12"/>
      <c r="D345" s="32" t="s">
        <v>177</v>
      </c>
    </row>
    <row r="346" spans="1:8" x14ac:dyDescent="0.2">
      <c r="B346" s="12" t="s">
        <v>179</v>
      </c>
      <c r="C346" s="12" t="s">
        <v>179</v>
      </c>
      <c r="D346" s="1" t="s">
        <v>178</v>
      </c>
    </row>
    <row r="347" spans="1:8" x14ac:dyDescent="0.2">
      <c r="B347" s="12">
        <v>4</v>
      </c>
      <c r="C347" s="12">
        <v>4</v>
      </c>
      <c r="D347" s="1" t="s">
        <v>45</v>
      </c>
    </row>
    <row r="348" spans="1:8" x14ac:dyDescent="0.2">
      <c r="B348" s="12">
        <v>3</v>
      </c>
      <c r="C348" s="12">
        <v>2</v>
      </c>
      <c r="D348" s="1" t="s">
        <v>42</v>
      </c>
    </row>
    <row r="349" spans="1:8" x14ac:dyDescent="0.2">
      <c r="B349" s="36">
        <f>-C351</f>
        <v>-54121.608</v>
      </c>
      <c r="C349" s="12">
        <v>-50000</v>
      </c>
      <c r="D349" s="1" t="s">
        <v>39</v>
      </c>
    </row>
    <row r="350" spans="1:8" ht="17" thickBot="1" x14ac:dyDescent="0.25">
      <c r="B350" s="12"/>
      <c r="C350" s="12">
        <v>0</v>
      </c>
      <c r="D350" s="1" t="s">
        <v>47</v>
      </c>
    </row>
    <row r="351" spans="1:8" x14ac:dyDescent="0.2">
      <c r="B351" s="51">
        <f>FV(B348/100,B347,B350,B349)</f>
        <v>60914.346615366478</v>
      </c>
      <c r="C351" s="41">
        <f>FV(C348/100,C347,C350,C349)</f>
        <v>54121.608</v>
      </c>
      <c r="D351" s="1" t="s">
        <v>50</v>
      </c>
    </row>
    <row r="352" spans="1:8" ht="17" thickBot="1" x14ac:dyDescent="0.25">
      <c r="B352" s="44" t="s">
        <v>297</v>
      </c>
    </row>
    <row r="354" spans="1:8" x14ac:dyDescent="0.2">
      <c r="A354" s="50" t="s">
        <v>332</v>
      </c>
      <c r="B354" s="50"/>
      <c r="C354" s="50"/>
      <c r="D354" s="50"/>
      <c r="E354" s="50"/>
      <c r="F354" s="50"/>
      <c r="G354" s="50"/>
      <c r="H354" s="50"/>
    </row>
    <row r="355" spans="1:8" x14ac:dyDescent="0.2">
      <c r="A355" s="1" t="s">
        <v>334</v>
      </c>
    </row>
    <row r="356" spans="1:8" x14ac:dyDescent="0.2">
      <c r="A356" s="1" t="s">
        <v>333</v>
      </c>
    </row>
    <row r="358" spans="1:8" x14ac:dyDescent="0.2">
      <c r="A358" s="1" t="s">
        <v>27</v>
      </c>
    </row>
    <row r="360" spans="1:8" x14ac:dyDescent="0.2">
      <c r="C360" s="12"/>
      <c r="D360" s="32" t="s">
        <v>177</v>
      </c>
    </row>
    <row r="361" spans="1:8" x14ac:dyDescent="0.2">
      <c r="B361" s="12" t="s">
        <v>179</v>
      </c>
      <c r="C361" s="12" t="s">
        <v>179</v>
      </c>
      <c r="D361" s="1" t="s">
        <v>178</v>
      </c>
    </row>
    <row r="362" spans="1:8" x14ac:dyDescent="0.2">
      <c r="B362" s="12">
        <v>5</v>
      </c>
      <c r="C362" s="12">
        <f>2*4</f>
        <v>8</v>
      </c>
      <c r="D362" s="1" t="s">
        <v>45</v>
      </c>
    </row>
    <row r="363" spans="1:8" x14ac:dyDescent="0.2">
      <c r="B363" s="12">
        <v>3</v>
      </c>
      <c r="C363" s="12">
        <v>2</v>
      </c>
      <c r="D363" s="1" t="s">
        <v>42</v>
      </c>
    </row>
    <row r="364" spans="1:8" x14ac:dyDescent="0.2">
      <c r="B364" s="36">
        <f>-C366</f>
        <v>-93732.750480181247</v>
      </c>
      <c r="C364" s="12">
        <v>-80000</v>
      </c>
      <c r="D364" s="1" t="s">
        <v>39</v>
      </c>
    </row>
    <row r="365" spans="1:8" ht="17" thickBot="1" x14ac:dyDescent="0.25">
      <c r="B365" s="12">
        <v>0</v>
      </c>
      <c r="C365" s="12">
        <v>0</v>
      </c>
      <c r="D365" s="1" t="s">
        <v>47</v>
      </c>
    </row>
    <row r="366" spans="1:8" x14ac:dyDescent="0.2">
      <c r="B366" s="51">
        <f>FV(B363/100,B362,B365,B364)</f>
        <v>108661.94754450498</v>
      </c>
      <c r="C366" s="41">
        <f>FV(C363/100,C362,C365,C364)</f>
        <v>93732.750480181247</v>
      </c>
      <c r="D366" s="1" t="s">
        <v>50</v>
      </c>
    </row>
    <row r="367" spans="1:8" ht="17" thickBot="1" x14ac:dyDescent="0.25">
      <c r="B367" s="44" t="s">
        <v>297</v>
      </c>
    </row>
    <row r="369" spans="1:8" x14ac:dyDescent="0.2">
      <c r="A369" s="50" t="s">
        <v>335</v>
      </c>
      <c r="B369" s="50"/>
      <c r="C369" s="50"/>
      <c r="D369" s="50"/>
      <c r="E369" s="50"/>
      <c r="F369" s="50"/>
      <c r="G369" s="50"/>
      <c r="H369" s="50"/>
    </row>
    <row r="370" spans="1:8" x14ac:dyDescent="0.2">
      <c r="A370" s="1" t="s">
        <v>336</v>
      </c>
    </row>
    <row r="371" spans="1:8" x14ac:dyDescent="0.2">
      <c r="A371" s="1" t="s">
        <v>337</v>
      </c>
    </row>
    <row r="373" spans="1:8" x14ac:dyDescent="0.2">
      <c r="A373" s="1" t="s">
        <v>27</v>
      </c>
    </row>
    <row r="375" spans="1:8" x14ac:dyDescent="0.2">
      <c r="C375" s="12"/>
      <c r="D375" s="32" t="s">
        <v>177</v>
      </c>
    </row>
    <row r="376" spans="1:8" x14ac:dyDescent="0.2">
      <c r="B376" s="52" t="s">
        <v>179</v>
      </c>
      <c r="C376" s="12" t="s">
        <v>179</v>
      </c>
      <c r="D376" s="1" t="s">
        <v>178</v>
      </c>
    </row>
    <row r="377" spans="1:8" x14ac:dyDescent="0.2">
      <c r="B377" s="52">
        <v>5</v>
      </c>
      <c r="C377" s="12">
        <f>7*12</f>
        <v>84</v>
      </c>
      <c r="D377" s="1" t="s">
        <v>45</v>
      </c>
    </row>
    <row r="378" spans="1:8" x14ac:dyDescent="0.2">
      <c r="B378" s="52">
        <v>3</v>
      </c>
      <c r="C378" s="12">
        <v>2</v>
      </c>
      <c r="D378" s="1" t="s">
        <v>42</v>
      </c>
    </row>
    <row r="379" spans="1:8" x14ac:dyDescent="0.2">
      <c r="B379" s="53">
        <f>-C381</f>
        <v>-855466.42733639793</v>
      </c>
      <c r="C379" s="12">
        <v>0</v>
      </c>
      <c r="D379" s="1" t="s">
        <v>39</v>
      </c>
    </row>
    <row r="380" spans="1:8" x14ac:dyDescent="0.2">
      <c r="B380" s="52">
        <v>0</v>
      </c>
      <c r="C380" s="12">
        <v>-4000</v>
      </c>
      <c r="D380" s="1" t="s">
        <v>47</v>
      </c>
    </row>
    <row r="381" spans="1:8" x14ac:dyDescent="0.2">
      <c r="B381" s="54">
        <f>FV(B378/100,B377,B380,B379)</f>
        <v>991720.0506451308</v>
      </c>
      <c r="C381" s="41">
        <f>FV(C378/100,C377,C380,C379)</f>
        <v>855466.42733639793</v>
      </c>
      <c r="D381" s="1" t="s">
        <v>50</v>
      </c>
    </row>
    <row r="382" spans="1:8" x14ac:dyDescent="0.2">
      <c r="B382" s="52" t="s">
        <v>297</v>
      </c>
    </row>
    <row r="383" spans="1:8" x14ac:dyDescent="0.2">
      <c r="A383" s="50" t="s">
        <v>338</v>
      </c>
      <c r="B383" s="50"/>
      <c r="C383" s="50"/>
      <c r="D383" s="50"/>
      <c r="E383" s="50"/>
      <c r="F383" s="50"/>
      <c r="G383" s="50"/>
      <c r="H383" s="50"/>
    </row>
    <row r="384" spans="1:8" x14ac:dyDescent="0.2">
      <c r="A384" s="1" t="s">
        <v>339</v>
      </c>
    </row>
    <row r="385" spans="1:8" x14ac:dyDescent="0.2">
      <c r="A385" s="1" t="s">
        <v>371</v>
      </c>
    </row>
    <row r="387" spans="1:8" x14ac:dyDescent="0.2">
      <c r="A387" s="1" t="s">
        <v>27</v>
      </c>
    </row>
    <row r="389" spans="1:8" x14ac:dyDescent="0.2">
      <c r="C389" s="12"/>
      <c r="D389" s="32" t="s">
        <v>177</v>
      </c>
    </row>
    <row r="390" spans="1:8" x14ac:dyDescent="0.2">
      <c r="B390" s="52" t="s">
        <v>179</v>
      </c>
      <c r="C390" s="12" t="s">
        <v>179</v>
      </c>
      <c r="D390" s="1" t="s">
        <v>178</v>
      </c>
    </row>
    <row r="391" spans="1:8" x14ac:dyDescent="0.2">
      <c r="B391" s="52">
        <v>5</v>
      </c>
      <c r="C391" s="12">
        <f>10*12</f>
        <v>120</v>
      </c>
      <c r="D391" s="1" t="s">
        <v>45</v>
      </c>
    </row>
    <row r="392" spans="1:8" x14ac:dyDescent="0.2">
      <c r="B392" s="52">
        <v>3</v>
      </c>
      <c r="C392" s="12">
        <v>0.4</v>
      </c>
      <c r="D392" s="1" t="s">
        <v>42</v>
      </c>
    </row>
    <row r="393" spans="1:8" x14ac:dyDescent="0.2">
      <c r="B393" s="53">
        <f>-C395</f>
        <v>-633902.17007410759</v>
      </c>
      <c r="C393" s="12">
        <v>-12000</v>
      </c>
      <c r="D393" s="1" t="s">
        <v>39</v>
      </c>
    </row>
    <row r="394" spans="1:8" x14ac:dyDescent="0.2">
      <c r="B394" s="52">
        <v>0</v>
      </c>
      <c r="C394" s="12">
        <v>-4000</v>
      </c>
      <c r="D394" s="1" t="s">
        <v>47</v>
      </c>
    </row>
    <row r="395" spans="1:8" x14ac:dyDescent="0.2">
      <c r="B395" s="54">
        <f>FV(B392/100,B391,B394,B393)</f>
        <v>734866.35140942212</v>
      </c>
      <c r="C395" s="41">
        <f>FV(C392/100,C391,C394,C393)</f>
        <v>633902.17007410759</v>
      </c>
      <c r="D395" s="1" t="s">
        <v>50</v>
      </c>
    </row>
    <row r="397" spans="1:8" x14ac:dyDescent="0.2">
      <c r="A397" s="50" t="s">
        <v>340</v>
      </c>
      <c r="B397" s="50"/>
      <c r="C397" s="50"/>
      <c r="D397" s="50"/>
      <c r="E397" s="50"/>
      <c r="F397" s="50"/>
      <c r="G397" s="50"/>
      <c r="H397" s="50"/>
    </row>
    <row r="398" spans="1:8" x14ac:dyDescent="0.2">
      <c r="A398" s="1" t="s">
        <v>341</v>
      </c>
    </row>
    <row r="399" spans="1:8" x14ac:dyDescent="0.2">
      <c r="A399" s="1" t="s">
        <v>342</v>
      </c>
    </row>
    <row r="400" spans="1:8" x14ac:dyDescent="0.2">
      <c r="A400" s="1" t="s">
        <v>343</v>
      </c>
    </row>
    <row r="402" spans="1:8" x14ac:dyDescent="0.2">
      <c r="A402" s="1" t="s">
        <v>27</v>
      </c>
    </row>
    <row r="404" spans="1:8" x14ac:dyDescent="0.2">
      <c r="C404" s="12"/>
      <c r="D404" s="32" t="s">
        <v>177</v>
      </c>
    </row>
    <row r="405" spans="1:8" x14ac:dyDescent="0.2">
      <c r="B405" s="12" t="s">
        <v>179</v>
      </c>
      <c r="C405" s="12" t="s">
        <v>179</v>
      </c>
      <c r="D405" s="1" t="s">
        <v>178</v>
      </c>
    </row>
    <row r="406" spans="1:8" x14ac:dyDescent="0.2">
      <c r="B406" s="12">
        <f>6*12</f>
        <v>72</v>
      </c>
      <c r="C406" s="12">
        <f>3*12</f>
        <v>36</v>
      </c>
      <c r="D406" s="1" t="s">
        <v>45</v>
      </c>
    </row>
    <row r="407" spans="1:8" x14ac:dyDescent="0.2">
      <c r="B407" s="12">
        <v>2</v>
      </c>
      <c r="C407" s="12">
        <v>2</v>
      </c>
      <c r="D407" s="1" t="s">
        <v>42</v>
      </c>
    </row>
    <row r="408" spans="1:8" x14ac:dyDescent="0.2">
      <c r="B408" s="36">
        <f>-C410</f>
        <v>-215185.35468304146</v>
      </c>
      <c r="C408" s="12">
        <v>-80000</v>
      </c>
      <c r="D408" s="1" t="s">
        <v>39</v>
      </c>
    </row>
    <row r="409" spans="1:8" ht="17" thickBot="1" x14ac:dyDescent="0.25">
      <c r="B409" s="12">
        <v>-2000</v>
      </c>
      <c r="C409" s="12">
        <v>-1000</v>
      </c>
      <c r="D409" s="1" t="s">
        <v>47</v>
      </c>
    </row>
    <row r="410" spans="1:8" x14ac:dyDescent="0.2">
      <c r="B410" s="51">
        <f>FV(B407/100,B406,B409,B408)</f>
        <v>1211530.5049965344</v>
      </c>
      <c r="C410" s="41">
        <f>FV(C407/100,C406,C409,C408)</f>
        <v>215185.35468304146</v>
      </c>
      <c r="D410" s="1" t="s">
        <v>50</v>
      </c>
    </row>
    <row r="411" spans="1:8" ht="17" thickBot="1" x14ac:dyDescent="0.25">
      <c r="B411" s="44" t="s">
        <v>297</v>
      </c>
    </row>
    <row r="413" spans="1:8" x14ac:dyDescent="0.2">
      <c r="A413" s="50" t="s">
        <v>344</v>
      </c>
      <c r="B413" s="50"/>
      <c r="C413" s="50"/>
      <c r="D413" s="50"/>
      <c r="E413" s="50"/>
      <c r="F413" s="50"/>
      <c r="G413" s="50"/>
      <c r="H413" s="50"/>
    </row>
    <row r="414" spans="1:8" x14ac:dyDescent="0.2">
      <c r="A414" s="1" t="s">
        <v>345</v>
      </c>
    </row>
    <row r="415" spans="1:8" x14ac:dyDescent="0.2">
      <c r="A415" s="1" t="s">
        <v>346</v>
      </c>
    </row>
    <row r="416" spans="1:8" x14ac:dyDescent="0.2">
      <c r="A416" s="1" t="s">
        <v>347</v>
      </c>
    </row>
    <row r="418" spans="1:8" x14ac:dyDescent="0.2">
      <c r="A418" s="1" t="s">
        <v>27</v>
      </c>
    </row>
    <row r="420" spans="1:8" x14ac:dyDescent="0.2">
      <c r="C420" s="12"/>
      <c r="D420" s="32" t="s">
        <v>177</v>
      </c>
    </row>
    <row r="421" spans="1:8" x14ac:dyDescent="0.2">
      <c r="B421" s="12" t="s">
        <v>179</v>
      </c>
      <c r="C421" s="12" t="s">
        <v>179</v>
      </c>
      <c r="D421" s="1" t="s">
        <v>178</v>
      </c>
    </row>
    <row r="422" spans="1:8" x14ac:dyDescent="0.2">
      <c r="B422" s="12">
        <f>9*12</f>
        <v>108</v>
      </c>
      <c r="C422" s="12">
        <f>3*12</f>
        <v>36</v>
      </c>
      <c r="D422" s="1" t="s">
        <v>45</v>
      </c>
    </row>
    <row r="423" spans="1:8" x14ac:dyDescent="0.2">
      <c r="B423" s="12">
        <v>1</v>
      </c>
      <c r="C423" s="12">
        <v>1</v>
      </c>
      <c r="D423" s="1" t="s">
        <v>42</v>
      </c>
    </row>
    <row r="424" spans="1:8" x14ac:dyDescent="0.2">
      <c r="B424" s="36">
        <f>-C426</f>
        <v>-193461.41548768478</v>
      </c>
      <c r="C424" s="12">
        <v>-75000</v>
      </c>
      <c r="D424" s="1" t="s">
        <v>39</v>
      </c>
    </row>
    <row r="425" spans="1:8" ht="17" thickBot="1" x14ac:dyDescent="0.25">
      <c r="B425" s="12">
        <v>0</v>
      </c>
      <c r="C425" s="12">
        <v>-2000</v>
      </c>
      <c r="D425" s="1" t="s">
        <v>47</v>
      </c>
    </row>
    <row r="426" spans="1:8" x14ac:dyDescent="0.2">
      <c r="B426" s="51">
        <f>FV(B423/100,B422,B425,B424)</f>
        <v>566634.12970729603</v>
      </c>
      <c r="C426" s="41">
        <f>FV(C423/100,C422,C425,C424)</f>
        <v>193461.41548768478</v>
      </c>
      <c r="D426" s="1" t="s">
        <v>50</v>
      </c>
    </row>
    <row r="427" spans="1:8" ht="17" thickBot="1" x14ac:dyDescent="0.25">
      <c r="B427" s="44" t="s">
        <v>297</v>
      </c>
    </row>
    <row r="429" spans="1:8" x14ac:dyDescent="0.2">
      <c r="A429" s="50" t="s">
        <v>348</v>
      </c>
      <c r="B429" s="50"/>
      <c r="C429" s="50"/>
      <c r="D429" s="50"/>
      <c r="E429" s="50"/>
      <c r="F429" s="50"/>
      <c r="G429" s="50"/>
      <c r="H429" s="50"/>
    </row>
    <row r="430" spans="1:8" x14ac:dyDescent="0.2">
      <c r="A430" s="1" t="s">
        <v>358</v>
      </c>
    </row>
    <row r="431" spans="1:8" x14ac:dyDescent="0.2">
      <c r="A431" s="1" t="s">
        <v>355</v>
      </c>
    </row>
    <row r="432" spans="1:8" x14ac:dyDescent="0.2">
      <c r="A432" s="1" t="s">
        <v>349</v>
      </c>
    </row>
    <row r="433" spans="1:7" x14ac:dyDescent="0.2">
      <c r="A433" s="1" t="s">
        <v>350</v>
      </c>
    </row>
    <row r="434" spans="1:7" x14ac:dyDescent="0.2">
      <c r="A434" s="1" t="s">
        <v>372</v>
      </c>
    </row>
    <row r="435" spans="1:7" x14ac:dyDescent="0.2">
      <c r="A435" s="1" t="s">
        <v>356</v>
      </c>
    </row>
    <row r="437" spans="1:7" x14ac:dyDescent="0.2">
      <c r="A437" s="1" t="s">
        <v>27</v>
      </c>
      <c r="C437" s="12" t="s">
        <v>354</v>
      </c>
      <c r="D437" s="12" t="s">
        <v>354</v>
      </c>
      <c r="E437" s="12" t="s">
        <v>317</v>
      </c>
    </row>
    <row r="438" spans="1:7" x14ac:dyDescent="0.2">
      <c r="C438" s="12" t="s">
        <v>353</v>
      </c>
      <c r="D438" s="12" t="s">
        <v>352</v>
      </c>
      <c r="E438" s="12" t="s">
        <v>351</v>
      </c>
    </row>
    <row r="439" spans="1:7" x14ac:dyDescent="0.2">
      <c r="C439" s="12" t="s">
        <v>292</v>
      </c>
      <c r="D439" s="12" t="s">
        <v>291</v>
      </c>
      <c r="E439" s="12" t="s">
        <v>290</v>
      </c>
      <c r="F439" s="32" t="s">
        <v>177</v>
      </c>
    </row>
    <row r="440" spans="1:7" x14ac:dyDescent="0.2">
      <c r="C440" s="12" t="s">
        <v>179</v>
      </c>
      <c r="D440" s="12" t="s">
        <v>179</v>
      </c>
      <c r="E440" s="12" t="s">
        <v>179</v>
      </c>
      <c r="F440" s="1" t="s">
        <v>178</v>
      </c>
    </row>
    <row r="441" spans="1:7" x14ac:dyDescent="0.2">
      <c r="C441" s="12">
        <f>7*3</f>
        <v>21</v>
      </c>
      <c r="D441" s="55">
        <f>7*2</f>
        <v>14</v>
      </c>
      <c r="E441" s="55">
        <v>4</v>
      </c>
      <c r="F441" s="1" t="s">
        <v>45</v>
      </c>
    </row>
    <row r="442" spans="1:7" x14ac:dyDescent="0.2">
      <c r="C442" s="12">
        <v>0.8</v>
      </c>
      <c r="D442" s="12">
        <v>1.5</v>
      </c>
      <c r="E442" s="12">
        <v>1</v>
      </c>
      <c r="F442" s="1" t="s">
        <v>42</v>
      </c>
    </row>
    <row r="443" spans="1:7" x14ac:dyDescent="0.2">
      <c r="C443" s="45">
        <f>-D445</f>
        <v>-51.270798108024501</v>
      </c>
      <c r="D443" s="42">
        <f>-E445</f>
        <v>-41.624160400000001</v>
      </c>
      <c r="E443" s="12">
        <v>-40</v>
      </c>
      <c r="F443" s="1" t="s">
        <v>39</v>
      </c>
    </row>
    <row r="444" spans="1:7" ht="17" thickBot="1" x14ac:dyDescent="0.25">
      <c r="C444" s="12">
        <v>0</v>
      </c>
      <c r="D444" s="12">
        <v>0</v>
      </c>
      <c r="E444" s="12">
        <v>0</v>
      </c>
      <c r="F444" s="1" t="s">
        <v>47</v>
      </c>
    </row>
    <row r="445" spans="1:7" x14ac:dyDescent="0.2">
      <c r="C445" s="46">
        <f>FV(C442/100,C441,C444,C443)</f>
        <v>60.609576889651358</v>
      </c>
      <c r="D445" s="45">
        <f>FV(D442/100,D441,D444,D443)</f>
        <v>51.270798108024501</v>
      </c>
      <c r="E445" s="41">
        <f>FV(E442/100,E441,E444,E443)</f>
        <v>41.624160400000001</v>
      </c>
      <c r="F445" s="1" t="s">
        <v>50</v>
      </c>
      <c r="G445" s="1" t="s">
        <v>51</v>
      </c>
    </row>
    <row r="446" spans="1:7" ht="17" thickBot="1" x14ac:dyDescent="0.25">
      <c r="C446" s="44" t="s">
        <v>297</v>
      </c>
      <c r="D446" s="12"/>
      <c r="E446" s="12"/>
    </row>
    <row r="447" spans="1:7" x14ac:dyDescent="0.2">
      <c r="C447" s="1" t="s">
        <v>357</v>
      </c>
    </row>
    <row r="449" spans="1:8" x14ac:dyDescent="0.2">
      <c r="A449" s="50" t="s">
        <v>359</v>
      </c>
      <c r="B449" s="50"/>
      <c r="C449" s="50"/>
      <c r="D449" s="50"/>
      <c r="E449" s="50"/>
      <c r="F449" s="50"/>
      <c r="G449" s="50"/>
      <c r="H449" s="50"/>
    </row>
    <row r="450" spans="1:8" x14ac:dyDescent="0.2">
      <c r="A450" s="1" t="s">
        <v>360</v>
      </c>
    </row>
    <row r="451" spans="1:8" x14ac:dyDescent="0.2">
      <c r="A451" s="1" t="s">
        <v>361</v>
      </c>
    </row>
    <row r="452" spans="1:8" x14ac:dyDescent="0.2">
      <c r="A452" s="1" t="s">
        <v>365</v>
      </c>
    </row>
    <row r="453" spans="1:8" x14ac:dyDescent="0.2">
      <c r="A453" s="1" t="s">
        <v>362</v>
      </c>
    </row>
    <row r="454" spans="1:8" x14ac:dyDescent="0.2">
      <c r="A454" s="1" t="s">
        <v>366</v>
      </c>
    </row>
    <row r="455" spans="1:8" x14ac:dyDescent="0.2">
      <c r="A455" s="1" t="s">
        <v>367</v>
      </c>
    </row>
    <row r="456" spans="1:8" x14ac:dyDescent="0.2">
      <c r="A456" s="1" t="s">
        <v>364</v>
      </c>
    </row>
    <row r="457" spans="1:8" x14ac:dyDescent="0.2">
      <c r="A457" s="1" t="s">
        <v>363</v>
      </c>
    </row>
    <row r="459" spans="1:8" x14ac:dyDescent="0.2">
      <c r="A459" s="1" t="s">
        <v>27</v>
      </c>
    </row>
    <row r="460" spans="1:8" x14ac:dyDescent="0.2">
      <c r="C460" s="12" t="s">
        <v>317</v>
      </c>
      <c r="D460" s="12" t="s">
        <v>368</v>
      </c>
      <c r="E460" s="12" t="s">
        <v>316</v>
      </c>
    </row>
    <row r="461" spans="1:8" x14ac:dyDescent="0.2">
      <c r="C461" s="12" t="s">
        <v>370</v>
      </c>
      <c r="D461" s="12" t="s">
        <v>369</v>
      </c>
      <c r="E461" s="12" t="s">
        <v>314</v>
      </c>
    </row>
    <row r="462" spans="1:8" x14ac:dyDescent="0.2">
      <c r="C462" s="12" t="s">
        <v>292</v>
      </c>
      <c r="D462" s="12" t="s">
        <v>291</v>
      </c>
      <c r="E462" s="12" t="s">
        <v>290</v>
      </c>
      <c r="F462" s="32" t="s">
        <v>177</v>
      </c>
    </row>
    <row r="463" spans="1:8" x14ac:dyDescent="0.2">
      <c r="C463" s="12" t="s">
        <v>179</v>
      </c>
      <c r="D463" s="12" t="s">
        <v>179</v>
      </c>
      <c r="E463" s="12" t="s">
        <v>179</v>
      </c>
      <c r="F463" s="1" t="s">
        <v>178</v>
      </c>
    </row>
    <row r="464" spans="1:8" x14ac:dyDescent="0.2">
      <c r="C464" s="12">
        <f>4*2</f>
        <v>8</v>
      </c>
      <c r="D464" s="12">
        <f>2*12</f>
        <v>24</v>
      </c>
      <c r="E464" s="12">
        <f>4*3</f>
        <v>12</v>
      </c>
      <c r="F464" s="1" t="s">
        <v>45</v>
      </c>
    </row>
    <row r="465" spans="3:7" x14ac:dyDescent="0.2">
      <c r="C465" s="12">
        <v>0.3</v>
      </c>
      <c r="D465" s="12">
        <v>0.8</v>
      </c>
      <c r="E465" s="12">
        <v>2</v>
      </c>
      <c r="F465" s="1" t="s">
        <v>42</v>
      </c>
    </row>
    <row r="466" spans="3:7" x14ac:dyDescent="0.2">
      <c r="C466" s="45">
        <f>-D468</f>
        <v>-43456.814438245754</v>
      </c>
      <c r="D466" s="42">
        <f>-E468</f>
        <v>-14134.814450776576</v>
      </c>
      <c r="E466" s="55">
        <v>-4800</v>
      </c>
      <c r="F466" s="1" t="s">
        <v>39</v>
      </c>
    </row>
    <row r="467" spans="3:7" ht="17" thickBot="1" x14ac:dyDescent="0.25">
      <c r="C467" s="12">
        <v>0</v>
      </c>
      <c r="D467" s="12">
        <v>-1000</v>
      </c>
      <c r="E467" s="12">
        <v>-600</v>
      </c>
      <c r="F467" s="1" t="s">
        <v>47</v>
      </c>
    </row>
    <row r="468" spans="3:7" ht="18" x14ac:dyDescent="0.2">
      <c r="C468" s="47">
        <f>FV(C465/100,C464,C467,C466)</f>
        <v>44510.795055697861</v>
      </c>
      <c r="D468" s="45">
        <f>FV(D465/100,D464,D467,D466)</f>
        <v>43456.814438245754</v>
      </c>
      <c r="E468" s="41">
        <f>FV(E465/100,E464,E467,E466)</f>
        <v>14134.814450776576</v>
      </c>
      <c r="F468" s="1" t="s">
        <v>50</v>
      </c>
      <c r="G468" s="1" t="s">
        <v>51</v>
      </c>
    </row>
    <row r="469" spans="3:7" ht="19" thickBot="1" x14ac:dyDescent="0.25">
      <c r="C469" s="48" t="s">
        <v>297</v>
      </c>
      <c r="D469" s="12"/>
      <c r="E469" s="12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9745DB-19CE-CD47-9091-2544DB81308C}">
  <dimension ref="A1:M319"/>
  <sheetViews>
    <sheetView rightToLeft="1" topLeftCell="A211" zoomScale="298" zoomScaleNormal="220" workbookViewId="0">
      <selection activeCell="E219" sqref="E219:E226"/>
    </sheetView>
  </sheetViews>
  <sheetFormatPr baseColWidth="10" defaultRowHeight="16" x14ac:dyDescent="0.2"/>
  <cols>
    <col min="1" max="2" width="10.83203125" style="1"/>
    <col min="3" max="3" width="12.5" style="1" bestFit="1" customWidth="1"/>
    <col min="4" max="5" width="10.83203125" style="1"/>
    <col min="6" max="6" width="13.5" style="1" bestFit="1" customWidth="1"/>
    <col min="7" max="16384" width="10.83203125" style="1"/>
  </cols>
  <sheetData>
    <row r="1" spans="1:8" x14ac:dyDescent="0.2">
      <c r="A1" s="229" t="s">
        <v>449</v>
      </c>
      <c r="B1" s="229"/>
      <c r="C1" s="229"/>
      <c r="D1" s="229"/>
      <c r="E1" s="229"/>
      <c r="F1" s="229"/>
      <c r="G1" s="229"/>
      <c r="H1" s="76">
        <v>45873</v>
      </c>
    </row>
    <row r="2" spans="1:8" ht="17" thickBot="1" x14ac:dyDescent="0.25"/>
    <row r="3" spans="1:8" ht="17" thickBot="1" x14ac:dyDescent="0.25">
      <c r="A3" s="3" t="s">
        <v>373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374</v>
      </c>
    </row>
    <row r="5" spans="1:8" x14ac:dyDescent="0.2">
      <c r="A5" s="1" t="s">
        <v>375</v>
      </c>
    </row>
    <row r="6" spans="1:8" x14ac:dyDescent="0.2">
      <c r="A6" s="1" t="s">
        <v>376</v>
      </c>
    </row>
    <row r="8" spans="1:8" x14ac:dyDescent="0.2">
      <c r="A8" s="1" t="s">
        <v>27</v>
      </c>
    </row>
    <row r="10" spans="1:8" x14ac:dyDescent="0.2">
      <c r="A10" s="1" t="s">
        <v>377</v>
      </c>
    </row>
    <row r="11" spans="1:8" x14ac:dyDescent="0.2">
      <c r="A11" s="1" t="s">
        <v>378</v>
      </c>
    </row>
    <row r="13" spans="1:8" x14ac:dyDescent="0.2">
      <c r="A13" s="1" t="s">
        <v>379</v>
      </c>
    </row>
    <row r="14" spans="1:8" x14ac:dyDescent="0.2">
      <c r="A14" s="1" t="s">
        <v>380</v>
      </c>
    </row>
    <row r="15" spans="1:8" x14ac:dyDescent="0.2">
      <c r="A15" s="1" t="s">
        <v>381</v>
      </c>
    </row>
    <row r="16" spans="1:8" x14ac:dyDescent="0.2">
      <c r="D16" s="1" t="s">
        <v>1673</v>
      </c>
    </row>
    <row r="17" spans="1:7" x14ac:dyDescent="0.2">
      <c r="D17" s="1" t="s">
        <v>387</v>
      </c>
    </row>
    <row r="18" spans="1:7" x14ac:dyDescent="0.2">
      <c r="D18" s="1" t="s">
        <v>388</v>
      </c>
    </row>
    <row r="20" spans="1:7" ht="17" thickBot="1" x14ac:dyDescent="0.25">
      <c r="C20" s="12" t="s">
        <v>383</v>
      </c>
      <c r="D20" s="57">
        <v>-90000</v>
      </c>
      <c r="G20" s="12" t="s">
        <v>384</v>
      </c>
    </row>
    <row r="21" spans="1:7" ht="17" thickBot="1" x14ac:dyDescent="0.25">
      <c r="C21" s="12">
        <f>10*12</f>
        <v>120</v>
      </c>
      <c r="D21" s="60">
        <f>8*12</f>
        <v>96</v>
      </c>
      <c r="F21" s="12">
        <v>1</v>
      </c>
      <c r="G21" s="12">
        <v>0</v>
      </c>
    </row>
    <row r="22" spans="1:7" x14ac:dyDescent="0.2">
      <c r="A22" s="1" t="s">
        <v>382</v>
      </c>
      <c r="G22" s="12"/>
    </row>
    <row r="23" spans="1:7" x14ac:dyDescent="0.2">
      <c r="G23" s="57">
        <v>-140000</v>
      </c>
    </row>
    <row r="24" spans="1:7" x14ac:dyDescent="0.2">
      <c r="A24" s="1" t="s">
        <v>1679</v>
      </c>
      <c r="D24" s="232" t="s">
        <v>390</v>
      </c>
      <c r="E24" s="233"/>
    </row>
    <row r="25" spans="1:7" x14ac:dyDescent="0.2">
      <c r="D25" s="234" t="s">
        <v>385</v>
      </c>
      <c r="E25" s="234"/>
    </row>
    <row r="26" spans="1:7" x14ac:dyDescent="0.2">
      <c r="A26" s="1" t="s">
        <v>1678</v>
      </c>
      <c r="D26" s="234" t="s">
        <v>386</v>
      </c>
      <c r="E26" s="234"/>
    </row>
    <row r="28" spans="1:7" x14ac:dyDescent="0.2">
      <c r="A28" s="1" t="s">
        <v>389</v>
      </c>
    </row>
    <row r="29" spans="1:7" x14ac:dyDescent="0.2">
      <c r="E29" s="70" t="s">
        <v>393</v>
      </c>
      <c r="F29" s="12" t="s">
        <v>391</v>
      </c>
    </row>
    <row r="30" spans="1:7" x14ac:dyDescent="0.2">
      <c r="E30" s="218" t="s">
        <v>394</v>
      </c>
      <c r="F30" s="59" t="s">
        <v>392</v>
      </c>
      <c r="G30" s="58" t="s">
        <v>177</v>
      </c>
    </row>
    <row r="31" spans="1:7" x14ac:dyDescent="0.2">
      <c r="E31" s="70" t="s">
        <v>179</v>
      </c>
      <c r="F31" s="70" t="s">
        <v>179</v>
      </c>
      <c r="G31" s="1" t="s">
        <v>178</v>
      </c>
    </row>
    <row r="32" spans="1:7" x14ac:dyDescent="0.2">
      <c r="A32" s="1" t="s">
        <v>1677</v>
      </c>
      <c r="E32" s="70">
        <f>2*12</f>
        <v>24</v>
      </c>
      <c r="F32" s="70">
        <v>96</v>
      </c>
      <c r="G32" s="1" t="s">
        <v>45</v>
      </c>
    </row>
    <row r="33" spans="1:9" x14ac:dyDescent="0.2">
      <c r="B33" s="1" t="s">
        <v>395</v>
      </c>
      <c r="E33" s="70">
        <v>1</v>
      </c>
      <c r="F33" s="70">
        <v>1</v>
      </c>
      <c r="G33" s="1" t="s">
        <v>42</v>
      </c>
    </row>
    <row r="34" spans="1:9" x14ac:dyDescent="0.2">
      <c r="B34" s="1" t="s">
        <v>396</v>
      </c>
      <c r="E34" s="217">
        <f>-F36-90000</f>
        <v>-773752.7946901914</v>
      </c>
      <c r="F34" s="70">
        <v>-140000</v>
      </c>
      <c r="G34" s="1" t="s">
        <v>39</v>
      </c>
    </row>
    <row r="35" spans="1:9" x14ac:dyDescent="0.2">
      <c r="B35" s="1" t="s">
        <v>1675</v>
      </c>
      <c r="E35" s="70">
        <v>-2000</v>
      </c>
      <c r="F35" s="70">
        <v>-2000</v>
      </c>
      <c r="G35" s="1" t="s">
        <v>47</v>
      </c>
    </row>
    <row r="36" spans="1:9" ht="18" x14ac:dyDescent="0.2">
      <c r="B36" s="1" t="s">
        <v>1676</v>
      </c>
      <c r="E36" s="219">
        <f>FV(E33/100,E32,E35,E34)</f>
        <v>1036407.6625229202</v>
      </c>
      <c r="F36" s="216">
        <f>FV(F33/100,F32,F35,F34)</f>
        <v>683752.7946901914</v>
      </c>
      <c r="G36" s="1" t="s">
        <v>50</v>
      </c>
      <c r="H36" s="1" t="s">
        <v>51</v>
      </c>
    </row>
    <row r="37" spans="1:9" x14ac:dyDescent="0.2">
      <c r="F37" s="1" t="s">
        <v>1674</v>
      </c>
    </row>
    <row r="38" spans="1:9" x14ac:dyDescent="0.2">
      <c r="A38" s="1" t="s">
        <v>397</v>
      </c>
    </row>
    <row r="39" spans="1:9" ht="17" thickBot="1" x14ac:dyDescent="0.25"/>
    <row r="40" spans="1:9" ht="17" thickBot="1" x14ac:dyDescent="0.25">
      <c r="A40" s="3" t="s">
        <v>398</v>
      </c>
      <c r="B40" s="6"/>
      <c r="C40" s="6"/>
      <c r="D40" s="6"/>
      <c r="E40" s="6"/>
      <c r="F40" s="6"/>
      <c r="G40" s="6"/>
      <c r="H40" s="7"/>
    </row>
    <row r="42" spans="1:9" x14ac:dyDescent="0.2">
      <c r="A42" s="1" t="s">
        <v>399</v>
      </c>
      <c r="I42" s="1" t="s">
        <v>1680</v>
      </c>
    </row>
    <row r="43" spans="1:9" x14ac:dyDescent="0.2">
      <c r="A43" s="1" t="s">
        <v>400</v>
      </c>
      <c r="I43" s="1" t="s">
        <v>1681</v>
      </c>
    </row>
    <row r="44" spans="1:9" x14ac:dyDescent="0.2">
      <c r="A44" s="1" t="s">
        <v>401</v>
      </c>
      <c r="I44" s="1" t="s">
        <v>1682</v>
      </c>
    </row>
    <row r="45" spans="1:9" x14ac:dyDescent="0.2">
      <c r="A45" s="1" t="s">
        <v>402</v>
      </c>
      <c r="I45" s="1" t="s">
        <v>1683</v>
      </c>
    </row>
    <row r="46" spans="1:9" x14ac:dyDescent="0.2">
      <c r="A46" s="1" t="s">
        <v>403</v>
      </c>
      <c r="I46" s="1" t="s">
        <v>1684</v>
      </c>
    </row>
    <row r="47" spans="1:9" x14ac:dyDescent="0.2">
      <c r="I47" s="1" t="s">
        <v>1685</v>
      </c>
    </row>
    <row r="48" spans="1:9" x14ac:dyDescent="0.2">
      <c r="A48" s="1" t="s">
        <v>27</v>
      </c>
    </row>
    <row r="50" spans="1:10" x14ac:dyDescent="0.2">
      <c r="B50" s="12"/>
      <c r="C50" s="12">
        <v>48</v>
      </c>
      <c r="D50" s="12">
        <v>36</v>
      </c>
      <c r="E50" s="12">
        <v>24</v>
      </c>
      <c r="F50" s="12">
        <v>12</v>
      </c>
      <c r="G50" s="12">
        <v>0</v>
      </c>
    </row>
    <row r="51" spans="1:10" x14ac:dyDescent="0.2">
      <c r="A51" s="1" t="s">
        <v>382</v>
      </c>
    </row>
    <row r="52" spans="1:10" x14ac:dyDescent="0.2">
      <c r="C52" s="12" t="s">
        <v>408</v>
      </c>
      <c r="D52" s="12">
        <v>-45000</v>
      </c>
      <c r="E52" s="12"/>
      <c r="F52" s="12">
        <v>-40000</v>
      </c>
      <c r="G52" s="12">
        <v>-50000</v>
      </c>
      <c r="H52" s="1" t="s">
        <v>407</v>
      </c>
    </row>
    <row r="53" spans="1:10" x14ac:dyDescent="0.2">
      <c r="J53" s="2"/>
    </row>
    <row r="57" spans="1:10" ht="51" x14ac:dyDescent="0.2">
      <c r="C57" s="220" t="s">
        <v>406</v>
      </c>
      <c r="D57" s="220" t="s">
        <v>1686</v>
      </c>
      <c r="E57" s="220" t="s">
        <v>405</v>
      </c>
      <c r="F57" s="61" t="s">
        <v>404</v>
      </c>
      <c r="G57" s="62" t="s">
        <v>177</v>
      </c>
    </row>
    <row r="58" spans="1:10" x14ac:dyDescent="0.2">
      <c r="C58" s="70" t="s">
        <v>179</v>
      </c>
      <c r="D58" s="70" t="s">
        <v>179</v>
      </c>
      <c r="E58" s="70" t="s">
        <v>179</v>
      </c>
      <c r="F58" s="12" t="s">
        <v>179</v>
      </c>
      <c r="G58" s="1" t="s">
        <v>178</v>
      </c>
    </row>
    <row r="59" spans="1:10" x14ac:dyDescent="0.2">
      <c r="C59" s="70">
        <v>12</v>
      </c>
      <c r="D59" s="70">
        <v>12</v>
      </c>
      <c r="E59" s="70">
        <v>12</v>
      </c>
      <c r="F59" s="12">
        <v>12</v>
      </c>
      <c r="G59" s="1" t="s">
        <v>45</v>
      </c>
    </row>
    <row r="60" spans="1:10" x14ac:dyDescent="0.2">
      <c r="C60" s="70">
        <v>3</v>
      </c>
      <c r="D60" s="70">
        <v>3</v>
      </c>
      <c r="E60" s="70">
        <v>1</v>
      </c>
      <c r="F60" s="12">
        <v>1</v>
      </c>
      <c r="G60" s="1" t="s">
        <v>42</v>
      </c>
    </row>
    <row r="61" spans="1:10" x14ac:dyDescent="0.2">
      <c r="C61" s="225">
        <f>-D63-45000</f>
        <v>-296602.96101395937</v>
      </c>
      <c r="D61" s="223">
        <f>-E63</f>
        <v>-146607.24267146544</v>
      </c>
      <c r="E61" s="221">
        <f>-F63-40000</f>
        <v>-96341.251506598492</v>
      </c>
      <c r="F61" s="12">
        <v>-50000</v>
      </c>
      <c r="G61" s="1" t="s">
        <v>39</v>
      </c>
    </row>
    <row r="62" spans="1:10" x14ac:dyDescent="0.2">
      <c r="C62" s="70">
        <f>D62</f>
        <v>-3000</v>
      </c>
      <c r="D62" s="70">
        <f>E62</f>
        <v>-3000</v>
      </c>
      <c r="E62" s="70">
        <v>-3000</v>
      </c>
      <c r="F62" s="12">
        <v>0</v>
      </c>
      <c r="G62" s="1" t="s">
        <v>47</v>
      </c>
    </row>
    <row r="63" spans="1:10" ht="21" x14ac:dyDescent="0.25">
      <c r="C63" s="226">
        <f>FV(C60/100,C59,C62,C61)</f>
        <v>465460.98942108313</v>
      </c>
      <c r="D63" s="224">
        <f>FV(D60/100,D59,D62,D61)</f>
        <v>251602.96101395934</v>
      </c>
      <c r="E63" s="222">
        <f>FV(E60/100,E59,E62,E61)</f>
        <v>146607.24267146544</v>
      </c>
      <c r="F63" s="65">
        <f>FV(F60/100,F59,F62,F61)</f>
        <v>56341.251506598492</v>
      </c>
      <c r="G63" s="1" t="s">
        <v>50</v>
      </c>
      <c r="H63" s="40" t="s">
        <v>51</v>
      </c>
    </row>
    <row r="64" spans="1:10" x14ac:dyDescent="0.2">
      <c r="C64" s="56" t="s">
        <v>297</v>
      </c>
    </row>
    <row r="65" spans="1:13" x14ac:dyDescent="0.2">
      <c r="C65" s="56" t="s">
        <v>409</v>
      </c>
    </row>
    <row r="66" spans="1:13" ht="17" thickBot="1" x14ac:dyDescent="0.25"/>
    <row r="67" spans="1:13" ht="17" thickBot="1" x14ac:dyDescent="0.25">
      <c r="A67" s="3" t="s">
        <v>410</v>
      </c>
      <c r="B67" s="6"/>
      <c r="C67" s="6"/>
      <c r="D67" s="6"/>
      <c r="E67" s="6"/>
      <c r="F67" s="6"/>
      <c r="G67" s="6"/>
      <c r="H67" s="7"/>
    </row>
    <row r="68" spans="1:13" x14ac:dyDescent="0.2">
      <c r="K68" s="32" t="s">
        <v>177</v>
      </c>
    </row>
    <row r="69" spans="1:13" x14ac:dyDescent="0.2">
      <c r="A69" s="1" t="s">
        <v>411</v>
      </c>
      <c r="H69" s="12" t="s">
        <v>640</v>
      </c>
      <c r="I69" s="12" t="s">
        <v>639</v>
      </c>
      <c r="J69" s="12" t="s">
        <v>609</v>
      </c>
      <c r="K69" s="12" t="s">
        <v>608</v>
      </c>
      <c r="L69" s="12"/>
    </row>
    <row r="70" spans="1:13" x14ac:dyDescent="0.2">
      <c r="A70" s="1" t="s">
        <v>412</v>
      </c>
      <c r="H70" s="12" t="s">
        <v>875</v>
      </c>
      <c r="I70" s="12" t="s">
        <v>1691</v>
      </c>
      <c r="J70" s="12" t="s">
        <v>866</v>
      </c>
      <c r="K70" s="12" t="s">
        <v>992</v>
      </c>
      <c r="L70" s="12"/>
    </row>
    <row r="71" spans="1:13" x14ac:dyDescent="0.2">
      <c r="A71" s="1" t="s">
        <v>417</v>
      </c>
      <c r="H71" s="12" t="s">
        <v>1687</v>
      </c>
      <c r="I71" s="12" t="s">
        <v>1692</v>
      </c>
      <c r="J71" s="12" t="s">
        <v>1690</v>
      </c>
      <c r="K71" s="12" t="s">
        <v>1687</v>
      </c>
      <c r="L71" s="12"/>
    </row>
    <row r="72" spans="1:13" x14ac:dyDescent="0.2">
      <c r="A72" s="1" t="s">
        <v>418</v>
      </c>
      <c r="H72" s="12" t="s">
        <v>1694</v>
      </c>
      <c r="I72" s="12" t="s">
        <v>316</v>
      </c>
      <c r="J72" s="12" t="s">
        <v>844</v>
      </c>
      <c r="K72" s="12" t="s">
        <v>1688</v>
      </c>
      <c r="L72" s="12"/>
    </row>
    <row r="73" spans="1:13" x14ac:dyDescent="0.2">
      <c r="A73" s="1" t="s">
        <v>419</v>
      </c>
      <c r="H73" s="59" t="s">
        <v>1695</v>
      </c>
      <c r="I73" s="59" t="s">
        <v>1693</v>
      </c>
      <c r="J73" s="59" t="s">
        <v>1487</v>
      </c>
      <c r="K73" s="59" t="s">
        <v>1689</v>
      </c>
      <c r="L73" s="12"/>
    </row>
    <row r="74" spans="1:13" x14ac:dyDescent="0.2">
      <c r="A74" s="1" t="s">
        <v>413</v>
      </c>
      <c r="H74" s="12" t="s">
        <v>179</v>
      </c>
      <c r="I74" s="12" t="s">
        <v>179</v>
      </c>
      <c r="J74" s="12" t="s">
        <v>179</v>
      </c>
      <c r="K74" s="12" t="s">
        <v>179</v>
      </c>
      <c r="L74" s="12" t="s">
        <v>178</v>
      </c>
    </row>
    <row r="75" spans="1:13" x14ac:dyDescent="0.2">
      <c r="A75" s="1" t="s">
        <v>423</v>
      </c>
      <c r="H75" s="12">
        <v>12</v>
      </c>
      <c r="I75" s="12">
        <v>36</v>
      </c>
      <c r="J75" s="12">
        <v>12</v>
      </c>
      <c r="K75" s="12">
        <v>12</v>
      </c>
      <c r="L75" s="12" t="s">
        <v>45</v>
      </c>
    </row>
    <row r="76" spans="1:13" x14ac:dyDescent="0.2">
      <c r="A76" s="1" t="s">
        <v>414</v>
      </c>
      <c r="H76" s="12">
        <v>0.8</v>
      </c>
      <c r="I76" s="12">
        <v>0.8</v>
      </c>
      <c r="J76" s="12">
        <v>0.5</v>
      </c>
      <c r="K76" s="12">
        <v>1</v>
      </c>
      <c r="L76" s="12" t="s">
        <v>42</v>
      </c>
    </row>
    <row r="77" spans="1:13" x14ac:dyDescent="0.2">
      <c r="A77" s="1" t="s">
        <v>415</v>
      </c>
      <c r="H77" s="16">
        <f>-I79-4</f>
        <v>-24.373521084267448</v>
      </c>
      <c r="I77" s="16">
        <f>-J79</f>
        <v>-15.292797475147005</v>
      </c>
      <c r="J77" s="16">
        <f>-K79</f>
        <v>-8.5949015668624273</v>
      </c>
      <c r="K77" s="70">
        <v>-2</v>
      </c>
      <c r="L77" s="12" t="s">
        <v>39</v>
      </c>
    </row>
    <row r="78" spans="1:13" x14ac:dyDescent="0.2">
      <c r="A78" s="1" t="s">
        <v>416</v>
      </c>
      <c r="H78" s="12">
        <v>0</v>
      </c>
      <c r="I78" s="12">
        <v>0</v>
      </c>
      <c r="J78" s="12">
        <v>-0.5</v>
      </c>
      <c r="K78" s="12">
        <v>-0.5</v>
      </c>
      <c r="L78" s="12" t="s">
        <v>47</v>
      </c>
    </row>
    <row r="79" spans="1:13" x14ac:dyDescent="0.2">
      <c r="H79" s="160">
        <f>FV(H76/100,H75,H78,H77)</f>
        <v>26.819128351125812</v>
      </c>
      <c r="I79" s="16">
        <f>FV(I76/100,I75,I78,I77)</f>
        <v>20.373521084267448</v>
      </c>
      <c r="J79" s="16">
        <f>FV(J76/100,J75,J78,J77)</f>
        <v>15.292797475147005</v>
      </c>
      <c r="K79" s="16">
        <f>FV(K76/100,K75,K78,K77)</f>
        <v>8.5949015668624273</v>
      </c>
      <c r="L79" s="12" t="s">
        <v>50</v>
      </c>
      <c r="M79" s="40" t="s">
        <v>813</v>
      </c>
    </row>
    <row r="80" spans="1:13" x14ac:dyDescent="0.2">
      <c r="C80" s="12" t="s">
        <v>435</v>
      </c>
      <c r="D80" s="12" t="s">
        <v>422</v>
      </c>
      <c r="E80" s="12" t="s">
        <v>421</v>
      </c>
      <c r="F80" s="12" t="s">
        <v>420</v>
      </c>
    </row>
    <row r="81" spans="1:7" x14ac:dyDescent="0.2">
      <c r="C81" s="12">
        <v>72</v>
      </c>
      <c r="D81" s="12">
        <f>5*12</f>
        <v>60</v>
      </c>
      <c r="E81" s="12">
        <v>24</v>
      </c>
      <c r="F81" s="56">
        <v>12</v>
      </c>
      <c r="G81" s="12">
        <v>0</v>
      </c>
    </row>
    <row r="82" spans="1:7" x14ac:dyDescent="0.2">
      <c r="A82" s="1" t="s">
        <v>382</v>
      </c>
      <c r="G82" s="12"/>
    </row>
    <row r="83" spans="1:7" x14ac:dyDescent="0.2">
      <c r="D83" s="55">
        <v>-4</v>
      </c>
      <c r="G83" s="55">
        <v>-2</v>
      </c>
    </row>
    <row r="88" spans="1:7" x14ac:dyDescent="0.2">
      <c r="D88" s="1" t="s">
        <v>431</v>
      </c>
      <c r="E88" s="1" t="s">
        <v>426</v>
      </c>
      <c r="F88" s="1" t="s">
        <v>424</v>
      </c>
    </row>
    <row r="89" spans="1:7" x14ac:dyDescent="0.2">
      <c r="D89" s="1" t="s">
        <v>432</v>
      </c>
      <c r="E89" s="1" t="s">
        <v>427</v>
      </c>
      <c r="F89" s="1" t="s">
        <v>425</v>
      </c>
    </row>
    <row r="90" spans="1:7" x14ac:dyDescent="0.2">
      <c r="D90" s="1" t="s">
        <v>433</v>
      </c>
      <c r="E90" s="1" t="s">
        <v>428</v>
      </c>
    </row>
    <row r="91" spans="1:7" x14ac:dyDescent="0.2">
      <c r="D91" s="1" t="s">
        <v>434</v>
      </c>
      <c r="E91" s="1" t="s">
        <v>429</v>
      </c>
    </row>
    <row r="92" spans="1:7" x14ac:dyDescent="0.2">
      <c r="E92" s="1" t="s">
        <v>430</v>
      </c>
    </row>
    <row r="94" spans="1:7" ht="17" x14ac:dyDescent="0.2">
      <c r="C94" s="61" t="s">
        <v>439</v>
      </c>
      <c r="D94" s="61" t="s">
        <v>438</v>
      </c>
      <c r="E94" s="61" t="s">
        <v>437</v>
      </c>
      <c r="F94" s="61" t="s">
        <v>436</v>
      </c>
      <c r="G94" s="62" t="s">
        <v>177</v>
      </c>
    </row>
    <row r="95" spans="1:7" x14ac:dyDescent="0.2">
      <c r="C95" s="12" t="s">
        <v>179</v>
      </c>
      <c r="D95" s="12" t="s">
        <v>179</v>
      </c>
      <c r="E95" s="12" t="s">
        <v>179</v>
      </c>
      <c r="F95" s="12" t="s">
        <v>179</v>
      </c>
      <c r="G95" s="1" t="s">
        <v>178</v>
      </c>
    </row>
    <row r="96" spans="1:7" x14ac:dyDescent="0.2">
      <c r="C96" s="12">
        <v>12</v>
      </c>
      <c r="D96" s="12">
        <v>36</v>
      </c>
      <c r="E96" s="70">
        <v>12</v>
      </c>
      <c r="F96" s="12">
        <v>12</v>
      </c>
      <c r="G96" s="1" t="s">
        <v>45</v>
      </c>
    </row>
    <row r="97" spans="1:10" x14ac:dyDescent="0.2">
      <c r="C97" s="12">
        <v>0.8</v>
      </c>
      <c r="D97" s="12">
        <v>0.8</v>
      </c>
      <c r="E97" s="12">
        <v>0.5</v>
      </c>
      <c r="F97" s="12">
        <v>1</v>
      </c>
      <c r="G97" s="1" t="s">
        <v>42</v>
      </c>
    </row>
    <row r="98" spans="1:10" x14ac:dyDescent="0.2">
      <c r="C98" s="68">
        <f>-D100-4</f>
        <v>-24.373521084267448</v>
      </c>
      <c r="D98" s="66">
        <f>-E100</f>
        <v>-15.292797475147005</v>
      </c>
      <c r="E98" s="63">
        <f>-F100</f>
        <v>-8.5949015668624273</v>
      </c>
      <c r="F98" s="12">
        <v>-2</v>
      </c>
      <c r="G98" s="1" t="s">
        <v>39</v>
      </c>
    </row>
    <row r="99" spans="1:10" x14ac:dyDescent="0.2">
      <c r="C99" s="12">
        <v>0</v>
      </c>
      <c r="D99" s="12">
        <v>0</v>
      </c>
      <c r="E99" s="12">
        <f>F99</f>
        <v>-0.5</v>
      </c>
      <c r="F99" s="12">
        <v>-0.5</v>
      </c>
      <c r="G99" s="1" t="s">
        <v>47</v>
      </c>
    </row>
    <row r="100" spans="1:10" ht="21" x14ac:dyDescent="0.25">
      <c r="C100" s="69">
        <f>FV(C97/100,C96,C99,C98)</f>
        <v>26.819128351125812</v>
      </c>
      <c r="D100" s="67">
        <f>FV(D97/100,D96,D99,D98)</f>
        <v>20.373521084267448</v>
      </c>
      <c r="E100" s="64">
        <f>FV(E97/100,E96,E99,E98)</f>
        <v>15.292797475147005</v>
      </c>
      <c r="F100" s="65">
        <f>FV(F97/100,F96,F99,F98)</f>
        <v>8.5949015668624273</v>
      </c>
      <c r="G100" s="1" t="s">
        <v>50</v>
      </c>
      <c r="H100" s="40" t="s">
        <v>51</v>
      </c>
    </row>
    <row r="101" spans="1:10" x14ac:dyDescent="0.2">
      <c r="C101" s="56" t="s">
        <v>297</v>
      </c>
    </row>
    <row r="102" spans="1:10" x14ac:dyDescent="0.2">
      <c r="C102" s="56" t="s">
        <v>409</v>
      </c>
    </row>
    <row r="104" spans="1:10" x14ac:dyDescent="0.2">
      <c r="A104" s="1" t="s">
        <v>440</v>
      </c>
    </row>
    <row r="105" spans="1:10" ht="17" thickBot="1" x14ac:dyDescent="0.25"/>
    <row r="106" spans="1:10" ht="17" thickBot="1" x14ac:dyDescent="0.25">
      <c r="A106" s="3" t="s">
        <v>441</v>
      </c>
      <c r="B106" s="6"/>
      <c r="C106" s="6"/>
      <c r="D106" s="6"/>
      <c r="E106" s="6"/>
      <c r="F106" s="6"/>
      <c r="G106" s="6"/>
      <c r="H106" s="7"/>
    </row>
    <row r="108" spans="1:10" x14ac:dyDescent="0.2">
      <c r="A108" s="1" t="s">
        <v>442</v>
      </c>
      <c r="I108" s="1" t="s">
        <v>1698</v>
      </c>
    </row>
    <row r="109" spans="1:10" x14ac:dyDescent="0.2">
      <c r="A109" s="1" t="s">
        <v>443</v>
      </c>
      <c r="J109" s="12" t="s">
        <v>1699</v>
      </c>
    </row>
    <row r="110" spans="1:10" x14ac:dyDescent="0.2">
      <c r="A110" s="1" t="s">
        <v>444</v>
      </c>
      <c r="J110" s="12">
        <v>9</v>
      </c>
    </row>
    <row r="111" spans="1:10" x14ac:dyDescent="0.2">
      <c r="J111" s="12"/>
    </row>
    <row r="112" spans="1:10" x14ac:dyDescent="0.2">
      <c r="A112" s="12" t="s">
        <v>437</v>
      </c>
      <c r="B112" s="12" t="s">
        <v>436</v>
      </c>
      <c r="J112" s="12" t="s">
        <v>1700</v>
      </c>
    </row>
    <row r="113" spans="1:10" x14ac:dyDescent="0.2">
      <c r="A113" s="59" t="s">
        <v>1697</v>
      </c>
      <c r="B113" s="59" t="s">
        <v>1696</v>
      </c>
      <c r="E113" s="12">
        <v>24</v>
      </c>
      <c r="F113" s="12">
        <v>12</v>
      </c>
      <c r="G113" s="12">
        <v>0</v>
      </c>
      <c r="J113" s="12" t="s">
        <v>175</v>
      </c>
    </row>
    <row r="114" spans="1:10" x14ac:dyDescent="0.2">
      <c r="A114" s="12" t="s">
        <v>179</v>
      </c>
      <c r="B114" s="12" t="s">
        <v>179</v>
      </c>
      <c r="C114" s="1" t="s">
        <v>178</v>
      </c>
    </row>
    <row r="115" spans="1:10" x14ac:dyDescent="0.2">
      <c r="A115" s="12">
        <v>12</v>
      </c>
      <c r="B115" s="12">
        <v>12</v>
      </c>
      <c r="C115" s="1" t="s">
        <v>45</v>
      </c>
      <c r="F115" s="12">
        <v>-200</v>
      </c>
      <c r="G115" s="12">
        <v>-100</v>
      </c>
    </row>
    <row r="116" spans="1:10" x14ac:dyDescent="0.2">
      <c r="A116" s="12">
        <v>2</v>
      </c>
      <c r="B116" s="12">
        <v>2</v>
      </c>
      <c r="C116" s="1" t="s">
        <v>42</v>
      </c>
    </row>
    <row r="117" spans="1:10" x14ac:dyDescent="0.2">
      <c r="A117" s="36">
        <f>-B119-200</f>
        <v>-393.88462809689082</v>
      </c>
      <c r="B117" s="12">
        <v>-100</v>
      </c>
      <c r="C117" s="1" t="s">
        <v>39</v>
      </c>
    </row>
    <row r="118" spans="1:10" x14ac:dyDescent="0.2">
      <c r="A118" s="12">
        <v>-5</v>
      </c>
      <c r="B118" s="12">
        <v>-5</v>
      </c>
      <c r="C118" s="1" t="s">
        <v>47</v>
      </c>
    </row>
    <row r="119" spans="1:10" x14ac:dyDescent="0.2">
      <c r="A119" s="80">
        <f>FV(A116/100,A115,A118,A117)</f>
        <v>566.60139622883787</v>
      </c>
      <c r="B119" s="227">
        <f>FV(B116/100,B115,B118,B117)</f>
        <v>193.88462809689082</v>
      </c>
      <c r="C119" s="1" t="s">
        <v>50</v>
      </c>
    </row>
    <row r="120" spans="1:10" x14ac:dyDescent="0.2">
      <c r="A120" s="12" t="s">
        <v>1702</v>
      </c>
      <c r="B120" s="12" t="s">
        <v>1701</v>
      </c>
    </row>
    <row r="121" spans="1:10" x14ac:dyDescent="0.2">
      <c r="F121" s="12" t="s">
        <v>445</v>
      </c>
    </row>
    <row r="122" spans="1:10" x14ac:dyDescent="0.2">
      <c r="F122" s="12" t="s">
        <v>446</v>
      </c>
    </row>
    <row r="123" spans="1:10" x14ac:dyDescent="0.2">
      <c r="F123" s="12" t="s">
        <v>447</v>
      </c>
    </row>
    <row r="124" spans="1:10" x14ac:dyDescent="0.2">
      <c r="F124" s="12" t="s">
        <v>448</v>
      </c>
    </row>
    <row r="126" spans="1:10" ht="17" x14ac:dyDescent="0.2">
      <c r="C126" s="74"/>
      <c r="D126" s="74"/>
      <c r="E126" s="61" t="s">
        <v>437</v>
      </c>
      <c r="F126" s="61" t="s">
        <v>436</v>
      </c>
      <c r="G126" s="62" t="s">
        <v>177</v>
      </c>
    </row>
    <row r="127" spans="1:10" x14ac:dyDescent="0.2">
      <c r="C127" s="12"/>
      <c r="D127" s="12"/>
      <c r="E127" s="12" t="s">
        <v>179</v>
      </c>
      <c r="F127" s="12" t="s">
        <v>179</v>
      </c>
      <c r="G127" s="1" t="s">
        <v>178</v>
      </c>
    </row>
    <row r="128" spans="1:10" x14ac:dyDescent="0.2">
      <c r="C128" s="12"/>
      <c r="D128" s="12"/>
      <c r="E128" s="70">
        <v>12</v>
      </c>
      <c r="F128" s="12">
        <v>12</v>
      </c>
      <c r="G128" s="1" t="s">
        <v>45</v>
      </c>
    </row>
    <row r="129" spans="1:8" x14ac:dyDescent="0.2">
      <c r="C129" s="12"/>
      <c r="D129" s="12"/>
      <c r="E129" s="12">
        <v>2</v>
      </c>
      <c r="F129" s="12">
        <v>2</v>
      </c>
      <c r="G129" s="1" t="s">
        <v>42</v>
      </c>
    </row>
    <row r="130" spans="1:8" x14ac:dyDescent="0.2">
      <c r="C130" s="71"/>
      <c r="D130" s="71"/>
      <c r="E130" s="63">
        <f>-F132-200</f>
        <v>-393.88462809689082</v>
      </c>
      <c r="F130" s="12">
        <v>-100</v>
      </c>
      <c r="G130" s="1" t="s">
        <v>39</v>
      </c>
    </row>
    <row r="131" spans="1:8" x14ac:dyDescent="0.2">
      <c r="C131" s="12"/>
      <c r="D131" s="12"/>
      <c r="E131" s="12">
        <v>-5</v>
      </c>
      <c r="F131" s="12">
        <v>-5</v>
      </c>
      <c r="G131" s="1" t="s">
        <v>47</v>
      </c>
    </row>
    <row r="132" spans="1:8" ht="21" x14ac:dyDescent="0.25">
      <c r="C132" s="72"/>
      <c r="D132" s="73"/>
      <c r="E132" s="64">
        <f>FV(E129/100,E128,E131,E130)</f>
        <v>566.60139622883787</v>
      </c>
      <c r="F132" s="65">
        <f>FV(F129/100,F128,F131,F130)</f>
        <v>193.88462809689082</v>
      </c>
      <c r="G132" s="1" t="s">
        <v>50</v>
      </c>
      <c r="H132" s="40" t="s">
        <v>51</v>
      </c>
    </row>
    <row r="133" spans="1:8" x14ac:dyDescent="0.2">
      <c r="C133" s="56"/>
      <c r="E133" s="12" t="s">
        <v>297</v>
      </c>
    </row>
    <row r="134" spans="1:8" x14ac:dyDescent="0.2">
      <c r="C134" s="56"/>
      <c r="E134" s="12" t="s">
        <v>409</v>
      </c>
    </row>
    <row r="136" spans="1:8" x14ac:dyDescent="0.2">
      <c r="A136" s="228" t="s">
        <v>1703</v>
      </c>
      <c r="B136" s="228"/>
      <c r="C136" s="228"/>
      <c r="D136" s="228"/>
      <c r="E136" s="228"/>
      <c r="F136" s="228"/>
      <c r="G136" s="228"/>
      <c r="H136" s="228"/>
    </row>
    <row r="147" spans="1:10" x14ac:dyDescent="0.2">
      <c r="A147" s="1" t="s">
        <v>1704</v>
      </c>
      <c r="H147" s="1" t="s">
        <v>1711</v>
      </c>
    </row>
    <row r="148" spans="1:10" x14ac:dyDescent="0.2">
      <c r="A148" s="1" t="s">
        <v>1705</v>
      </c>
    </row>
    <row r="149" spans="1:10" x14ac:dyDescent="0.2">
      <c r="A149" s="1" t="s">
        <v>1706</v>
      </c>
    </row>
    <row r="150" spans="1:10" x14ac:dyDescent="0.2">
      <c r="H150" s="1" t="s">
        <v>1707</v>
      </c>
    </row>
    <row r="151" spans="1:10" x14ac:dyDescent="0.2">
      <c r="A151" s="1" t="s">
        <v>1708</v>
      </c>
      <c r="J151" s="1" t="s">
        <v>1709</v>
      </c>
    </row>
    <row r="152" spans="1:10" x14ac:dyDescent="0.2">
      <c r="A152" s="1" t="s">
        <v>1713</v>
      </c>
      <c r="D152" s="12">
        <v>1</v>
      </c>
      <c r="E152" s="1" t="s">
        <v>1621</v>
      </c>
      <c r="F152" s="135">
        <f>(1+4.060401%)^0.25-1</f>
        <v>1.0000000000000009E-2</v>
      </c>
      <c r="H152" s="1" t="s">
        <v>1712</v>
      </c>
      <c r="J152" s="1" t="s">
        <v>1710</v>
      </c>
    </row>
    <row r="154" spans="1:10" x14ac:dyDescent="0.2">
      <c r="D154" s="59" t="s">
        <v>1715</v>
      </c>
      <c r="E154" s="59" t="s">
        <v>1714</v>
      </c>
    </row>
    <row r="155" spans="1:10" x14ac:dyDescent="0.2">
      <c r="D155" s="12" t="s">
        <v>179</v>
      </c>
      <c r="E155" s="12" t="s">
        <v>179</v>
      </c>
      <c r="F155" s="1" t="s">
        <v>178</v>
      </c>
    </row>
    <row r="156" spans="1:10" x14ac:dyDescent="0.2">
      <c r="D156" s="12">
        <f>7*4</f>
        <v>28</v>
      </c>
      <c r="E156" s="12">
        <v>4</v>
      </c>
      <c r="F156" s="1" t="s">
        <v>45</v>
      </c>
    </row>
    <row r="157" spans="1:10" x14ac:dyDescent="0.2">
      <c r="D157" s="12">
        <v>2.5</v>
      </c>
      <c r="E157" s="12">
        <v>1</v>
      </c>
      <c r="F157" s="1" t="s">
        <v>42</v>
      </c>
    </row>
    <row r="158" spans="1:10" x14ac:dyDescent="0.2">
      <c r="D158" s="36">
        <f>-E160</f>
        <v>-12181.203000000007</v>
      </c>
      <c r="E158" s="12">
        <v>0</v>
      </c>
      <c r="F158" s="1" t="s">
        <v>39</v>
      </c>
    </row>
    <row r="159" spans="1:10" x14ac:dyDescent="0.2">
      <c r="D159" s="12">
        <v>-3000</v>
      </c>
      <c r="E159" s="12">
        <v>-3000</v>
      </c>
      <c r="F159" s="1" t="s">
        <v>47</v>
      </c>
    </row>
    <row r="160" spans="1:10" x14ac:dyDescent="0.2">
      <c r="D160" s="182">
        <f>FV(D157/100,D156,D159,D158)</f>
        <v>143899.11336283491</v>
      </c>
      <c r="E160" s="36">
        <f>FV(E157/100,E156,E159,E158)</f>
        <v>12181.203000000007</v>
      </c>
      <c r="F160" s="1" t="s">
        <v>50</v>
      </c>
    </row>
    <row r="161" spans="1:11" x14ac:dyDescent="0.2">
      <c r="D161" s="12" t="s">
        <v>297</v>
      </c>
    </row>
    <row r="163" spans="1:11" x14ac:dyDescent="0.2">
      <c r="A163" s="134" t="s">
        <v>1716</v>
      </c>
      <c r="B163" s="228"/>
      <c r="C163" s="228"/>
      <c r="D163" s="228"/>
      <c r="E163" s="228"/>
      <c r="F163" s="228"/>
      <c r="G163" s="228"/>
      <c r="H163" s="228"/>
    </row>
    <row r="165" spans="1:11" x14ac:dyDescent="0.2">
      <c r="I165" s="1" t="s">
        <v>1717</v>
      </c>
    </row>
    <row r="166" spans="1:11" x14ac:dyDescent="0.2">
      <c r="K166" s="1" t="s">
        <v>1719</v>
      </c>
    </row>
    <row r="168" spans="1:11" x14ac:dyDescent="0.2">
      <c r="I168" s="1" t="s">
        <v>1718</v>
      </c>
    </row>
    <row r="169" spans="1:11" x14ac:dyDescent="0.2">
      <c r="K169" s="1" t="s">
        <v>1720</v>
      </c>
    </row>
    <row r="174" spans="1:11" x14ac:dyDescent="0.2">
      <c r="C174" s="12" t="s">
        <v>437</v>
      </c>
      <c r="D174" s="12" t="s">
        <v>436</v>
      </c>
      <c r="G174" s="1" t="s">
        <v>1723</v>
      </c>
    </row>
    <row r="175" spans="1:11" x14ac:dyDescent="0.2">
      <c r="C175" s="59" t="s">
        <v>1722</v>
      </c>
      <c r="D175" s="59" t="s">
        <v>1721</v>
      </c>
      <c r="G175" s="1" t="s">
        <v>1724</v>
      </c>
    </row>
    <row r="176" spans="1:11" x14ac:dyDescent="0.2">
      <c r="C176" s="12" t="s">
        <v>179</v>
      </c>
      <c r="D176" s="12" t="s">
        <v>179</v>
      </c>
      <c r="E176" s="1" t="s">
        <v>178</v>
      </c>
      <c r="G176" s="1" t="s">
        <v>1725</v>
      </c>
    </row>
    <row r="177" spans="1:11" x14ac:dyDescent="0.2">
      <c r="C177" s="12">
        <f>5*2</f>
        <v>10</v>
      </c>
      <c r="D177" s="12">
        <v>2</v>
      </c>
      <c r="E177" s="1" t="s">
        <v>45</v>
      </c>
      <c r="G177" s="1" t="s">
        <v>1726</v>
      </c>
    </row>
    <row r="178" spans="1:11" x14ac:dyDescent="0.2">
      <c r="C178" s="12">
        <f>((1+2%)^2-1)*100</f>
        <v>4.0399999999999991</v>
      </c>
      <c r="D178" s="12">
        <f>((1+10.25%)^0.5-1)*100</f>
        <v>5.0000000000000044</v>
      </c>
      <c r="E178" s="1" t="s">
        <v>42</v>
      </c>
    </row>
    <row r="179" spans="1:11" x14ac:dyDescent="0.2">
      <c r="C179" s="36">
        <f>-D181</f>
        <v>-20499.999999999989</v>
      </c>
      <c r="D179" s="12">
        <v>0</v>
      </c>
      <c r="E179" s="1" t="s">
        <v>39</v>
      </c>
      <c r="G179" s="1" t="s">
        <v>1727</v>
      </c>
      <c r="K179" s="107" t="s">
        <v>1729</v>
      </c>
    </row>
    <row r="180" spans="1:11" x14ac:dyDescent="0.2">
      <c r="C180" s="12">
        <f>D180</f>
        <v>-10000</v>
      </c>
      <c r="D180" s="12">
        <v>-10000</v>
      </c>
      <c r="E180" s="1" t="s">
        <v>47</v>
      </c>
    </row>
    <row r="181" spans="1:11" x14ac:dyDescent="0.2">
      <c r="C181" s="42">
        <f>FV(C178/100,C177,C180,C179)</f>
        <v>150745.93052308948</v>
      </c>
      <c r="D181" s="36">
        <f>FV(D178/100,D177,D180,D179)</f>
        <v>20499.999999999989</v>
      </c>
      <c r="E181" s="1" t="s">
        <v>50</v>
      </c>
      <c r="G181" s="1" t="s">
        <v>1728</v>
      </c>
      <c r="K181" s="1" t="s">
        <v>1730</v>
      </c>
    </row>
    <row r="185" spans="1:11" ht="18" x14ac:dyDescent="0.2">
      <c r="A185" s="133" t="s">
        <v>1731</v>
      </c>
      <c r="B185" s="133"/>
      <c r="C185" s="133"/>
      <c r="D185" s="133"/>
      <c r="E185" s="133"/>
      <c r="F185" s="133"/>
      <c r="G185" s="133"/>
      <c r="H185" s="133"/>
    </row>
    <row r="187" spans="1:11" x14ac:dyDescent="0.2">
      <c r="A187" s="2"/>
    </row>
    <row r="196" spans="1:8" x14ac:dyDescent="0.2">
      <c r="A196" s="2" t="s">
        <v>27</v>
      </c>
    </row>
    <row r="197" spans="1:8" x14ac:dyDescent="0.2">
      <c r="A197" s="1" t="s">
        <v>812</v>
      </c>
    </row>
    <row r="198" spans="1:8" x14ac:dyDescent="0.2">
      <c r="C198" s="1" t="s">
        <v>816</v>
      </c>
      <c r="E198" s="1" t="s">
        <v>815</v>
      </c>
    </row>
    <row r="199" spans="1:8" x14ac:dyDescent="0.2">
      <c r="C199" s="1" t="s">
        <v>817</v>
      </c>
    </row>
    <row r="200" spans="1:8" x14ac:dyDescent="0.2">
      <c r="C200" s="59" t="s">
        <v>814</v>
      </c>
      <c r="D200" s="59" t="s">
        <v>316</v>
      </c>
      <c r="E200" s="59" t="s">
        <v>317</v>
      </c>
      <c r="F200" s="59" t="s">
        <v>318</v>
      </c>
    </row>
    <row r="201" spans="1:8" x14ac:dyDescent="0.2">
      <c r="C201" s="12">
        <f>8*4</f>
        <v>32</v>
      </c>
      <c r="D201" s="12">
        <f>3*2</f>
        <v>6</v>
      </c>
      <c r="E201" s="12">
        <v>4</v>
      </c>
      <c r="F201" s="18">
        <v>5</v>
      </c>
      <c r="G201" s="1" t="s">
        <v>45</v>
      </c>
    </row>
    <row r="202" spans="1:8" x14ac:dyDescent="0.2">
      <c r="C202" s="12">
        <v>1</v>
      </c>
      <c r="D202" s="12">
        <v>2</v>
      </c>
      <c r="E202" s="12">
        <v>6</v>
      </c>
      <c r="F202" s="18">
        <v>4</v>
      </c>
      <c r="G202" s="1" t="s">
        <v>42</v>
      </c>
    </row>
    <row r="203" spans="1:8" x14ac:dyDescent="0.2">
      <c r="C203" s="18">
        <f>-D205</f>
        <v>-864890.63071801665</v>
      </c>
      <c r="D203" s="18">
        <f>-E205</f>
        <v>-767998.12879856466</v>
      </c>
      <c r="E203" s="18">
        <f>-F205</f>
        <v>-608326.45120000013</v>
      </c>
      <c r="F203" s="18">
        <v>-500000</v>
      </c>
      <c r="G203" s="1" t="s">
        <v>39</v>
      </c>
    </row>
    <row r="204" spans="1:8" ht="17" thickBot="1" x14ac:dyDescent="0.25">
      <c r="C204" s="18">
        <v>0</v>
      </c>
      <c r="D204" s="18">
        <v>0</v>
      </c>
      <c r="E204" s="18">
        <v>0</v>
      </c>
      <c r="F204" s="18">
        <v>0</v>
      </c>
      <c r="G204" s="1" t="s">
        <v>47</v>
      </c>
    </row>
    <row r="205" spans="1:8" ht="17" thickBot="1" x14ac:dyDescent="0.25">
      <c r="C205" s="111">
        <f>FV(C202/100,C201,C204,C203)</f>
        <v>1189173.3106546188</v>
      </c>
      <c r="D205" s="18">
        <f>FV(D202/100,D201,D204,D203)</f>
        <v>864890.63071801665</v>
      </c>
      <c r="E205" s="18">
        <f>FV(E202/100,E201,E204,E203)</f>
        <v>767998.12879856466</v>
      </c>
      <c r="F205" s="18">
        <f>FV(F202/100,F201,F204,F203)</f>
        <v>608326.45120000013</v>
      </c>
      <c r="G205" s="1" t="s">
        <v>50</v>
      </c>
      <c r="H205" s="1" t="s">
        <v>813</v>
      </c>
    </row>
    <row r="207" spans="1:8" x14ac:dyDescent="0.2">
      <c r="A207" s="2" t="s">
        <v>818</v>
      </c>
      <c r="B207" s="2"/>
      <c r="C207" s="2"/>
      <c r="D207" s="2"/>
      <c r="E207" s="2"/>
      <c r="F207" s="112">
        <f>C205</f>
        <v>1189173.3106546188</v>
      </c>
    </row>
    <row r="208" spans="1:8" x14ac:dyDescent="0.2">
      <c r="A208" s="2"/>
      <c r="B208" s="2"/>
      <c r="C208" s="2"/>
      <c r="D208" s="2"/>
      <c r="E208" s="2"/>
      <c r="F208" s="112"/>
    </row>
    <row r="209" spans="1:7" x14ac:dyDescent="0.2">
      <c r="A209" s="2"/>
      <c r="B209" s="2"/>
      <c r="C209" s="2"/>
      <c r="D209" s="2"/>
      <c r="E209" s="2"/>
      <c r="F209" s="112"/>
    </row>
    <row r="210" spans="1:7" x14ac:dyDescent="0.2">
      <c r="A210" s="2"/>
      <c r="B210" s="2"/>
      <c r="C210" s="2"/>
      <c r="D210" s="2"/>
      <c r="E210" s="2"/>
      <c r="F210" s="112"/>
    </row>
    <row r="219" spans="1:7" x14ac:dyDescent="0.2">
      <c r="B219" s="117" t="s">
        <v>630</v>
      </c>
      <c r="C219" s="117" t="s">
        <v>315</v>
      </c>
      <c r="D219" s="117" t="s">
        <v>832</v>
      </c>
      <c r="E219" s="117" t="s">
        <v>828</v>
      </c>
      <c r="F219" s="118" t="s">
        <v>820</v>
      </c>
    </row>
    <row r="220" spans="1:7" x14ac:dyDescent="0.2">
      <c r="B220" s="117" t="s">
        <v>833</v>
      </c>
      <c r="C220" s="117" t="s">
        <v>829</v>
      </c>
      <c r="D220" s="117" t="s">
        <v>829</v>
      </c>
      <c r="E220" s="117" t="s">
        <v>821</v>
      </c>
      <c r="F220" s="117" t="s">
        <v>819</v>
      </c>
    </row>
    <row r="221" spans="1:7" x14ac:dyDescent="0.2">
      <c r="B221" s="113" t="s">
        <v>834</v>
      </c>
      <c r="C221" s="113" t="s">
        <v>831</v>
      </c>
      <c r="D221" s="113" t="s">
        <v>830</v>
      </c>
      <c r="E221" s="113" t="s">
        <v>824</v>
      </c>
      <c r="F221" s="113" t="s">
        <v>827</v>
      </c>
    </row>
    <row r="222" spans="1:7" x14ac:dyDescent="0.2">
      <c r="B222" s="12">
        <v>4</v>
      </c>
      <c r="C222" s="12">
        <v>4</v>
      </c>
      <c r="D222" s="12">
        <v>12</v>
      </c>
      <c r="E222" s="12">
        <v>12</v>
      </c>
      <c r="F222" s="115"/>
      <c r="G222" s="1" t="s">
        <v>45</v>
      </c>
    </row>
    <row r="223" spans="1:7" x14ac:dyDescent="0.2">
      <c r="B223" s="16">
        <f>((1+10%)^0.25-1)*100</f>
        <v>2.4113689084445111</v>
      </c>
      <c r="C223" s="121">
        <v>10</v>
      </c>
      <c r="D223" s="119">
        <f>E223</f>
        <v>0.94887929345830457</v>
      </c>
      <c r="E223" s="119">
        <f>((1+12%)^(1/12)-1)*100</f>
        <v>0.94887929345830457</v>
      </c>
      <c r="F223" s="116"/>
      <c r="G223" s="1" t="s">
        <v>42</v>
      </c>
    </row>
    <row r="224" spans="1:7" x14ac:dyDescent="0.2">
      <c r="B224" s="18">
        <f>-C226</f>
        <v>-151669.27459626913</v>
      </c>
      <c r="C224" s="18">
        <f>-D226</f>
        <v>-103592.15531471149</v>
      </c>
      <c r="D224" s="18">
        <f>-E226</f>
        <v>-92492.995816706563</v>
      </c>
      <c r="E224" s="18">
        <f>-F226</f>
        <v>-60000</v>
      </c>
      <c r="F224" s="116"/>
      <c r="G224" s="1" t="s">
        <v>39</v>
      </c>
    </row>
    <row r="225" spans="1:8" x14ac:dyDescent="0.2">
      <c r="B225" s="18">
        <v>-6000</v>
      </c>
      <c r="C225" s="12">
        <v>0</v>
      </c>
      <c r="D225" s="12">
        <v>0</v>
      </c>
      <c r="E225" s="18">
        <v>-2000</v>
      </c>
      <c r="F225" s="116"/>
      <c r="G225" s="1" t="s">
        <v>47</v>
      </c>
    </row>
    <row r="226" spans="1:8" x14ac:dyDescent="0.2">
      <c r="B226" s="110">
        <f>FV(B223/100,B222,B225,B224)</f>
        <v>191718.33427128714</v>
      </c>
      <c r="C226" s="18">
        <f>FV(C223/100,C222,C225,C224)</f>
        <v>151669.27459626913</v>
      </c>
      <c r="D226" s="18">
        <f>FV(D223/100,D222,D225,D224)</f>
        <v>103592.15531471149</v>
      </c>
      <c r="E226" s="18">
        <f>FV(E223/100,E222,E225,E224)</f>
        <v>92492.995816706563</v>
      </c>
      <c r="F226" s="114">
        <f>5000*12</f>
        <v>60000</v>
      </c>
      <c r="G226" s="1" t="s">
        <v>50</v>
      </c>
      <c r="H226" s="1" t="s">
        <v>813</v>
      </c>
    </row>
    <row r="229" spans="1:8" x14ac:dyDescent="0.2">
      <c r="B229" s="1" t="s">
        <v>835</v>
      </c>
      <c r="E229" s="1" t="s">
        <v>822</v>
      </c>
    </row>
    <row r="230" spans="1:8" x14ac:dyDescent="0.2">
      <c r="B230" s="1" t="s">
        <v>836</v>
      </c>
      <c r="E230" s="1" t="s">
        <v>823</v>
      </c>
    </row>
    <row r="231" spans="1:8" x14ac:dyDescent="0.2">
      <c r="A231" s="122">
        <f>B223</f>
        <v>2.4113689084445111</v>
      </c>
      <c r="C231" s="1" t="s">
        <v>837</v>
      </c>
      <c r="E231" s="1" t="s">
        <v>825</v>
      </c>
    </row>
    <row r="232" spans="1:8" x14ac:dyDescent="0.2">
      <c r="E232" s="119">
        <f>E223</f>
        <v>0.94887929345830457</v>
      </c>
      <c r="G232" s="1" t="s">
        <v>826</v>
      </c>
    </row>
    <row r="234" spans="1:8" x14ac:dyDescent="0.2">
      <c r="A234" s="1" t="s">
        <v>838</v>
      </c>
    </row>
    <row r="242" spans="1:9" ht="17" thickBot="1" x14ac:dyDescent="0.25">
      <c r="E242" s="117" t="s">
        <v>842</v>
      </c>
      <c r="F242" s="117" t="s">
        <v>839</v>
      </c>
    </row>
    <row r="243" spans="1:9" x14ac:dyDescent="0.2">
      <c r="A243" s="21" t="s">
        <v>856</v>
      </c>
      <c r="B243" s="124"/>
      <c r="E243" s="117" t="s">
        <v>843</v>
      </c>
      <c r="F243" s="117" t="s">
        <v>840</v>
      </c>
      <c r="I243" s="1" t="s">
        <v>861</v>
      </c>
    </row>
    <row r="244" spans="1:9" x14ac:dyDescent="0.2">
      <c r="A244" s="125" t="s">
        <v>857</v>
      </c>
      <c r="B244" s="126"/>
      <c r="E244" s="113" t="s">
        <v>844</v>
      </c>
      <c r="F244" s="113" t="s">
        <v>841</v>
      </c>
      <c r="I244" s="2" t="s">
        <v>862</v>
      </c>
    </row>
    <row r="245" spans="1:9" x14ac:dyDescent="0.2">
      <c r="A245" s="125" t="s">
        <v>858</v>
      </c>
      <c r="B245" s="126"/>
      <c r="E245" s="12">
        <f>10*12</f>
        <v>120</v>
      </c>
      <c r="F245" s="12">
        <f>10*12</f>
        <v>120</v>
      </c>
      <c r="G245" s="1" t="s">
        <v>45</v>
      </c>
    </row>
    <row r="246" spans="1:9" x14ac:dyDescent="0.2">
      <c r="A246" s="125" t="s">
        <v>859</v>
      </c>
      <c r="B246" s="126"/>
      <c r="C246" s="1" t="s">
        <v>845</v>
      </c>
      <c r="E246" s="119">
        <f>F246</f>
        <v>0.94887929345830457</v>
      </c>
      <c r="F246" s="119">
        <f>((1+12%)^(1/12)-1)*100</f>
        <v>0.94887929345830457</v>
      </c>
      <c r="G246" s="1" t="s">
        <v>42</v>
      </c>
    </row>
    <row r="247" spans="1:9" ht="17" thickBot="1" x14ac:dyDescent="0.25">
      <c r="A247" s="127" t="s">
        <v>860</v>
      </c>
      <c r="B247" s="128"/>
      <c r="C247" s="1" t="s">
        <v>846</v>
      </c>
      <c r="E247" s="18">
        <f>-F249-200000</f>
        <v>-1398304.9862389127</v>
      </c>
      <c r="F247" s="18">
        <v>-100000</v>
      </c>
      <c r="G247" s="1" t="s">
        <v>39</v>
      </c>
    </row>
    <row r="248" spans="1:9" x14ac:dyDescent="0.2">
      <c r="C248" s="1" t="s">
        <v>847</v>
      </c>
      <c r="E248" s="18">
        <f>F248</f>
        <v>-4000</v>
      </c>
      <c r="F248" s="18">
        <v>-4000</v>
      </c>
      <c r="G248" s="1" t="s">
        <v>47</v>
      </c>
    </row>
    <row r="249" spans="1:9" x14ac:dyDescent="0.2">
      <c r="C249" s="1" t="s">
        <v>848</v>
      </c>
      <c r="E249" s="110">
        <f>FV(E246/100,E245,E248,E247)</f>
        <v>5230643.2016334441</v>
      </c>
      <c r="F249" s="18">
        <f>FV(F246/100,F245,F248,F247)</f>
        <v>1198304.9862389127</v>
      </c>
      <c r="G249" s="1" t="s">
        <v>50</v>
      </c>
    </row>
    <row r="250" spans="1:9" x14ac:dyDescent="0.2">
      <c r="C250" s="1" t="s">
        <v>849</v>
      </c>
    </row>
    <row r="251" spans="1:9" x14ac:dyDescent="0.2">
      <c r="C251" s="1" t="s">
        <v>850</v>
      </c>
    </row>
    <row r="252" spans="1:9" x14ac:dyDescent="0.2">
      <c r="C252" s="1" t="s">
        <v>851</v>
      </c>
    </row>
    <row r="253" spans="1:9" x14ac:dyDescent="0.2">
      <c r="E253" s="1" t="s">
        <v>852</v>
      </c>
      <c r="G253" s="86">
        <f>F249</f>
        <v>1198304.9862389127</v>
      </c>
    </row>
    <row r="254" spans="1:9" x14ac:dyDescent="0.2">
      <c r="E254" s="1" t="s">
        <v>853</v>
      </c>
      <c r="G254" s="86">
        <v>200000</v>
      </c>
    </row>
    <row r="255" spans="1:9" x14ac:dyDescent="0.2">
      <c r="E255" s="1" t="s">
        <v>854</v>
      </c>
      <c r="G255" s="123">
        <f>G253+G254</f>
        <v>1398304.9862389127</v>
      </c>
      <c r="H255" s="1" t="s">
        <v>855</v>
      </c>
    </row>
    <row r="267" spans="1:8" x14ac:dyDescent="0.2">
      <c r="B267" s="129" t="s">
        <v>865</v>
      </c>
      <c r="C267" s="129" t="s">
        <v>865</v>
      </c>
      <c r="D267" s="129" t="s">
        <v>865</v>
      </c>
      <c r="F267" s="118" t="s">
        <v>865</v>
      </c>
      <c r="G267" s="129" t="s">
        <v>871</v>
      </c>
    </row>
    <row r="269" spans="1:8" x14ac:dyDescent="0.2">
      <c r="A269" s="12">
        <v>10</v>
      </c>
      <c r="B269" s="12"/>
      <c r="C269" s="12">
        <v>7</v>
      </c>
      <c r="D269" s="12">
        <v>4</v>
      </c>
      <c r="E269" s="12">
        <v>3</v>
      </c>
      <c r="F269" s="12">
        <v>2</v>
      </c>
      <c r="G269" s="12"/>
      <c r="H269" s="12">
        <v>0</v>
      </c>
    </row>
    <row r="270" spans="1:8" x14ac:dyDescent="0.2">
      <c r="A270" s="12"/>
      <c r="B270" s="12"/>
      <c r="C270" s="12"/>
      <c r="D270" s="12"/>
      <c r="E270" s="12"/>
      <c r="F270" s="12"/>
      <c r="G270" s="12"/>
      <c r="H270" s="12"/>
    </row>
    <row r="271" spans="1:8" x14ac:dyDescent="0.2">
      <c r="A271" s="12" t="s">
        <v>864</v>
      </c>
      <c r="B271" s="12"/>
      <c r="C271" s="12">
        <v>-150000</v>
      </c>
      <c r="D271" s="12" t="s">
        <v>866</v>
      </c>
      <c r="E271" s="12">
        <v>-80000</v>
      </c>
      <c r="F271" s="12" t="s">
        <v>869</v>
      </c>
      <c r="G271" s="12"/>
      <c r="H271" s="12" t="s">
        <v>863</v>
      </c>
    </row>
    <row r="272" spans="1:8" x14ac:dyDescent="0.2">
      <c r="C272" s="12" t="s">
        <v>387</v>
      </c>
      <c r="E272" s="12" t="s">
        <v>387</v>
      </c>
      <c r="F272" s="12" t="s">
        <v>870</v>
      </c>
    </row>
    <row r="274" spans="1:7" x14ac:dyDescent="0.2">
      <c r="B274" s="117" t="s">
        <v>875</v>
      </c>
      <c r="C274" s="117" t="s">
        <v>878</v>
      </c>
      <c r="D274" s="117" t="s">
        <v>875</v>
      </c>
      <c r="E274" s="117" t="s">
        <v>874</v>
      </c>
      <c r="F274" s="117" t="s">
        <v>368</v>
      </c>
    </row>
    <row r="275" spans="1:7" x14ac:dyDescent="0.2">
      <c r="B275" s="117" t="s">
        <v>876</v>
      </c>
      <c r="C275" s="117" t="s">
        <v>879</v>
      </c>
      <c r="D275" s="117" t="s">
        <v>876</v>
      </c>
      <c r="E275" s="117" t="s">
        <v>872</v>
      </c>
      <c r="F275" s="117" t="s">
        <v>867</v>
      </c>
    </row>
    <row r="276" spans="1:7" x14ac:dyDescent="0.2">
      <c r="B276" s="130" t="s">
        <v>881</v>
      </c>
      <c r="C276" s="113" t="s">
        <v>880</v>
      </c>
      <c r="D276" s="130" t="s">
        <v>877</v>
      </c>
      <c r="E276" s="113" t="s">
        <v>873</v>
      </c>
      <c r="F276" s="113" t="s">
        <v>868</v>
      </c>
    </row>
    <row r="277" spans="1:7" x14ac:dyDescent="0.2">
      <c r="B277" s="12">
        <f>3*4</f>
        <v>12</v>
      </c>
      <c r="C277" s="12">
        <f>3*4</f>
        <v>12</v>
      </c>
      <c r="D277" s="12">
        <v>4</v>
      </c>
      <c r="E277" s="12">
        <v>4</v>
      </c>
      <c r="F277" s="12">
        <v>2</v>
      </c>
      <c r="G277" s="1" t="s">
        <v>45</v>
      </c>
    </row>
    <row r="278" spans="1:7" x14ac:dyDescent="0.2">
      <c r="B278" s="119">
        <f>C278</f>
        <v>1.4673846168659299</v>
      </c>
      <c r="C278" s="119">
        <f>((1+6%)^(1/4)-1)*100</f>
        <v>1.4673846168659299</v>
      </c>
      <c r="D278" s="119">
        <f>E278</f>
        <v>1.2272234429039353</v>
      </c>
      <c r="E278" s="119">
        <f>((1+5%)^(1/4)-1)*100</f>
        <v>1.2272234429039353</v>
      </c>
      <c r="F278" s="121">
        <v>5</v>
      </c>
      <c r="G278" s="1" t="s">
        <v>42</v>
      </c>
    </row>
    <row r="279" spans="1:7" x14ac:dyDescent="0.2">
      <c r="B279" s="18">
        <f>-C281-150000</f>
        <v>-631442.96096647531</v>
      </c>
      <c r="C279" s="18">
        <f>-D281</f>
        <v>-360509.99902371777</v>
      </c>
      <c r="D279" s="18">
        <f>-E281-80000</f>
        <v>-327821.95074327698</v>
      </c>
      <c r="E279" s="18">
        <f>-F281</f>
        <v>-220500</v>
      </c>
      <c r="F279" s="18">
        <f>-200000</f>
        <v>-200000</v>
      </c>
      <c r="G279" s="1" t="s">
        <v>39</v>
      </c>
    </row>
    <row r="280" spans="1:7" x14ac:dyDescent="0.2">
      <c r="B280" s="18">
        <f>C280</f>
        <v>-4000</v>
      </c>
      <c r="C280" s="18">
        <f>D280</f>
        <v>-4000</v>
      </c>
      <c r="D280" s="12">
        <f>E280</f>
        <v>-4000</v>
      </c>
      <c r="E280" s="12">
        <v>-4000</v>
      </c>
      <c r="F280" s="18">
        <v>0</v>
      </c>
      <c r="G280" s="1" t="s">
        <v>47</v>
      </c>
    </row>
    <row r="281" spans="1:7" x14ac:dyDescent="0.2">
      <c r="B281" s="110">
        <f>FV(B278/100,B277,B280,B279)</f>
        <v>804128.45356769045</v>
      </c>
      <c r="C281" s="18">
        <f>FV(C278/100,C277,C280,C279)</f>
        <v>481442.96096647531</v>
      </c>
      <c r="D281" s="18">
        <f>FV(D278/100,D277,D280,D279)</f>
        <v>360509.99902371777</v>
      </c>
      <c r="E281" s="18">
        <f>FV(E278/100,E277,E280,E279)</f>
        <v>247821.95074327695</v>
      </c>
      <c r="F281" s="18">
        <f>FV(F278/100,F277,F280,F279)</f>
        <v>220500</v>
      </c>
      <c r="G281" s="1" t="s">
        <v>50</v>
      </c>
    </row>
    <row r="283" spans="1:7" x14ac:dyDescent="0.2">
      <c r="A283" s="1" t="s">
        <v>882</v>
      </c>
    </row>
    <row r="293" spans="1:7" x14ac:dyDescent="0.2">
      <c r="A293" s="1" t="s">
        <v>888</v>
      </c>
      <c r="D293" s="12" t="s">
        <v>829</v>
      </c>
      <c r="E293" s="12" t="s">
        <v>885</v>
      </c>
      <c r="F293" s="12" t="s">
        <v>883</v>
      </c>
    </row>
    <row r="294" spans="1:7" x14ac:dyDescent="0.2">
      <c r="A294" s="1" t="s">
        <v>889</v>
      </c>
      <c r="D294" s="59" t="s">
        <v>887</v>
      </c>
      <c r="E294" s="59" t="s">
        <v>886</v>
      </c>
      <c r="F294" s="59" t="s">
        <v>884</v>
      </c>
    </row>
    <row r="295" spans="1:7" x14ac:dyDescent="0.2">
      <c r="A295" s="1" t="s">
        <v>890</v>
      </c>
      <c r="D295" s="12">
        <v>2</v>
      </c>
      <c r="E295" s="12">
        <v>24</v>
      </c>
      <c r="F295" s="12">
        <f>12</f>
        <v>12</v>
      </c>
      <c r="G295" s="1" t="s">
        <v>45</v>
      </c>
    </row>
    <row r="296" spans="1:7" x14ac:dyDescent="0.2">
      <c r="D296" s="121">
        <v>6</v>
      </c>
      <c r="E296" s="119">
        <f>((1+5%)^(1/12)-1)*100</f>
        <v>0.40741237836483535</v>
      </c>
      <c r="F296" s="119">
        <f>((1+5%)^(1/12)-1)*100</f>
        <v>0.40741237836483535</v>
      </c>
      <c r="G296" s="1" t="s">
        <v>42</v>
      </c>
    </row>
    <row r="297" spans="1:7" x14ac:dyDescent="0.2">
      <c r="D297" s="18">
        <f>-E299</f>
        <v>-203068.48658389831</v>
      </c>
      <c r="E297" s="18">
        <f>-F299</f>
        <v>-70090.310118389651</v>
      </c>
      <c r="F297" s="18">
        <v>-20000</v>
      </c>
      <c r="G297" s="1" t="s">
        <v>39</v>
      </c>
    </row>
    <row r="298" spans="1:7" ht="17" thickBot="1" x14ac:dyDescent="0.25">
      <c r="D298" s="18">
        <v>0</v>
      </c>
      <c r="E298" s="18">
        <v>-5000</v>
      </c>
      <c r="F298" s="18">
        <v>-4000</v>
      </c>
      <c r="G298" s="1" t="s">
        <v>47</v>
      </c>
    </row>
    <row r="299" spans="1:7" ht="17" thickBot="1" x14ac:dyDescent="0.25">
      <c r="D299" s="111">
        <f>FV(D296/100,D295,D298,D297)</f>
        <v>228167.75152566817</v>
      </c>
      <c r="E299" s="18">
        <f>FV(E296/100,E295,E298,E297)</f>
        <v>203068.48658389831</v>
      </c>
      <c r="F299" s="18">
        <f>FV(F296/100,F295,F298,F297)</f>
        <v>70090.310118389651</v>
      </c>
      <c r="G299" s="1" t="s">
        <v>50</v>
      </c>
    </row>
    <row r="307" spans="1:8" x14ac:dyDescent="0.2">
      <c r="A307" s="1" t="s">
        <v>27</v>
      </c>
    </row>
    <row r="308" spans="1:8" x14ac:dyDescent="0.2">
      <c r="A308" s="1" t="s">
        <v>891</v>
      </c>
    </row>
    <row r="309" spans="1:8" x14ac:dyDescent="0.2">
      <c r="H309" s="1" t="s">
        <v>899</v>
      </c>
    </row>
    <row r="310" spans="1:8" x14ac:dyDescent="0.2">
      <c r="F310" s="12" t="s">
        <v>883</v>
      </c>
    </row>
    <row r="311" spans="1:8" x14ac:dyDescent="0.2">
      <c r="F311" s="59" t="s">
        <v>884</v>
      </c>
    </row>
    <row r="312" spans="1:8" x14ac:dyDescent="0.2">
      <c r="F312" s="12">
        <v>12</v>
      </c>
      <c r="G312" s="1" t="s">
        <v>45</v>
      </c>
    </row>
    <row r="313" spans="1:8" x14ac:dyDescent="0.2">
      <c r="A313" s="1" t="s">
        <v>893</v>
      </c>
      <c r="E313" s="1" t="s">
        <v>892</v>
      </c>
      <c r="F313" s="131">
        <f>RATE(F312,F315,F314,F316)*100</f>
        <v>2.7599129109678158</v>
      </c>
      <c r="G313" s="1" t="s">
        <v>42</v>
      </c>
      <c r="H313" s="1" t="s">
        <v>51</v>
      </c>
    </row>
    <row r="314" spans="1:8" x14ac:dyDescent="0.2">
      <c r="A314" s="1" t="s">
        <v>894</v>
      </c>
      <c r="F314" s="18">
        <v>0</v>
      </c>
      <c r="G314" s="1" t="s">
        <v>39</v>
      </c>
    </row>
    <row r="315" spans="1:8" x14ac:dyDescent="0.2">
      <c r="A315" s="1" t="s">
        <v>895</v>
      </c>
      <c r="F315" s="18">
        <v>-1000</v>
      </c>
      <c r="G315" s="1" t="s">
        <v>47</v>
      </c>
    </row>
    <row r="316" spans="1:8" ht="17" thickBot="1" x14ac:dyDescent="0.25">
      <c r="A316" s="1" t="s">
        <v>896</v>
      </c>
      <c r="F316" s="18">
        <v>14000</v>
      </c>
      <c r="G316" s="1" t="s">
        <v>50</v>
      </c>
    </row>
    <row r="317" spans="1:8" ht="17" thickBot="1" x14ac:dyDescent="0.25">
      <c r="B317" s="132">
        <f>(1+2.7599%)^12-1</f>
        <v>0.38638571727340021</v>
      </c>
      <c r="D317" s="1" t="s">
        <v>897</v>
      </c>
    </row>
    <row r="319" spans="1:8" x14ac:dyDescent="0.2">
      <c r="A319" s="2" t="s">
        <v>898</v>
      </c>
    </row>
  </sheetData>
  <mergeCells count="4">
    <mergeCell ref="D24:E24"/>
    <mergeCell ref="D25:E25"/>
    <mergeCell ref="D26:E26"/>
    <mergeCell ref="A1:G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80AE4C-27FF-9646-AFE8-0EBBA0B69187}">
  <dimension ref="A1:J367"/>
  <sheetViews>
    <sheetView rightToLeft="1" tabSelected="1" topLeftCell="A299" zoomScale="270" zoomScaleNormal="270" workbookViewId="0">
      <selection activeCell="A335" sqref="A335"/>
    </sheetView>
  </sheetViews>
  <sheetFormatPr baseColWidth="10" defaultRowHeight="16" x14ac:dyDescent="0.2"/>
  <cols>
    <col min="1" max="3" width="10.83203125" style="1"/>
    <col min="4" max="4" width="11.1640625" style="1" bestFit="1" customWidth="1"/>
    <col min="5" max="5" width="11.6640625" style="1" bestFit="1" customWidth="1"/>
    <col min="6" max="16384" width="10.83203125" style="1"/>
  </cols>
  <sheetData>
    <row r="1" spans="1:8" x14ac:dyDescent="0.2">
      <c r="A1" s="75" t="s">
        <v>450</v>
      </c>
      <c r="B1" s="75"/>
      <c r="C1" s="75"/>
      <c r="D1" s="75"/>
      <c r="E1" s="75"/>
      <c r="F1" s="75"/>
      <c r="G1" s="75"/>
      <c r="H1" s="76">
        <v>45880</v>
      </c>
    </row>
    <row r="2" spans="1:8" ht="17" thickBot="1" x14ac:dyDescent="0.25"/>
    <row r="3" spans="1:8" ht="17" thickBot="1" x14ac:dyDescent="0.25">
      <c r="A3" s="3" t="s">
        <v>451</v>
      </c>
      <c r="B3" s="6"/>
      <c r="C3" s="6"/>
      <c r="D3" s="6"/>
      <c r="E3" s="6"/>
      <c r="F3" s="6"/>
      <c r="G3" s="6"/>
      <c r="H3" s="7"/>
    </row>
    <row r="4" spans="1:8" x14ac:dyDescent="0.2">
      <c r="A4" s="1" t="s">
        <v>452</v>
      </c>
    </row>
    <row r="5" spans="1:8" x14ac:dyDescent="0.2">
      <c r="A5" s="1" t="s">
        <v>453</v>
      </c>
    </row>
    <row r="6" spans="1:8" x14ac:dyDescent="0.2">
      <c r="A6" s="1" t="s">
        <v>454</v>
      </c>
    </row>
    <row r="7" spans="1:8" x14ac:dyDescent="0.2">
      <c r="A7" s="1" t="s">
        <v>455</v>
      </c>
    </row>
    <row r="8" spans="1:8" x14ac:dyDescent="0.2">
      <c r="A8" s="1" t="s">
        <v>456</v>
      </c>
    </row>
    <row r="10" spans="1:8" x14ac:dyDescent="0.2">
      <c r="A10" s="1" t="s">
        <v>457</v>
      </c>
    </row>
    <row r="11" spans="1:8" x14ac:dyDescent="0.2">
      <c r="B11" s="1" t="s">
        <v>458</v>
      </c>
    </row>
    <row r="12" spans="1:8" x14ac:dyDescent="0.2">
      <c r="C12" s="1" t="s">
        <v>459</v>
      </c>
    </row>
    <row r="13" spans="1:8" x14ac:dyDescent="0.2">
      <c r="C13" s="1" t="s">
        <v>460</v>
      </c>
    </row>
    <row r="14" spans="1:8" x14ac:dyDescent="0.2">
      <c r="C14" s="1" t="s">
        <v>461</v>
      </c>
    </row>
    <row r="15" spans="1:8" x14ac:dyDescent="0.2">
      <c r="C15" s="1" t="s">
        <v>462</v>
      </c>
    </row>
    <row r="16" spans="1:8" x14ac:dyDescent="0.2">
      <c r="B16" s="2" t="s">
        <v>1732</v>
      </c>
      <c r="C16" s="2"/>
      <c r="D16" s="2"/>
      <c r="E16" s="2"/>
      <c r="F16" s="2"/>
      <c r="G16" s="2"/>
      <c r="H16" s="2"/>
    </row>
    <row r="17" spans="1:8" x14ac:dyDescent="0.2">
      <c r="B17" s="14" t="s">
        <v>463</v>
      </c>
      <c r="C17" s="2"/>
      <c r="D17" s="2"/>
      <c r="E17" s="2"/>
      <c r="F17" s="2"/>
      <c r="G17" s="2"/>
      <c r="H17" s="2"/>
    </row>
    <row r="19" spans="1:8" x14ac:dyDescent="0.2">
      <c r="A19" s="97" t="s">
        <v>1733</v>
      </c>
      <c r="B19" s="97"/>
      <c r="C19" s="97"/>
      <c r="D19" s="97"/>
      <c r="E19" s="97"/>
      <c r="F19" s="97"/>
      <c r="G19" s="97"/>
      <c r="H19" s="97"/>
    </row>
    <row r="20" spans="1:8" x14ac:dyDescent="0.2">
      <c r="A20" s="1" t="s">
        <v>1734</v>
      </c>
    </row>
    <row r="21" spans="1:8" x14ac:dyDescent="0.2">
      <c r="A21" s="1" t="s">
        <v>1735</v>
      </c>
    </row>
    <row r="22" spans="1:8" x14ac:dyDescent="0.2">
      <c r="A22" s="1" t="s">
        <v>1736</v>
      </c>
    </row>
    <row r="23" spans="1:8" x14ac:dyDescent="0.2">
      <c r="A23" s="1" t="s">
        <v>1737</v>
      </c>
    </row>
    <row r="25" spans="1:8" x14ac:dyDescent="0.2">
      <c r="A25" s="1" t="s">
        <v>719</v>
      </c>
    </row>
    <row r="26" spans="1:8" x14ac:dyDescent="0.2">
      <c r="A26" s="1" t="s">
        <v>1739</v>
      </c>
    </row>
    <row r="27" spans="1:8" x14ac:dyDescent="0.2">
      <c r="A27" s="1" t="s">
        <v>1738</v>
      </c>
    </row>
    <row r="28" spans="1:8" x14ac:dyDescent="0.2">
      <c r="F28" s="1" t="s">
        <v>1746</v>
      </c>
    </row>
    <row r="29" spans="1:8" x14ac:dyDescent="0.2">
      <c r="A29" s="58" t="s">
        <v>1741</v>
      </c>
      <c r="B29" s="58"/>
      <c r="C29" s="58"/>
      <c r="D29" s="58" t="s">
        <v>1744</v>
      </c>
      <c r="F29" s="58"/>
      <c r="G29" s="58"/>
      <c r="H29" s="58" t="s">
        <v>1745</v>
      </c>
    </row>
    <row r="30" spans="1:8" x14ac:dyDescent="0.2">
      <c r="A30" s="1" t="s">
        <v>1740</v>
      </c>
      <c r="C30" s="12" t="s">
        <v>179</v>
      </c>
      <c r="D30" s="1" t="s">
        <v>178</v>
      </c>
      <c r="G30" s="12" t="s">
        <v>179</v>
      </c>
      <c r="H30" s="1" t="s">
        <v>178</v>
      </c>
    </row>
    <row r="31" spans="1:8" x14ac:dyDescent="0.2">
      <c r="A31" s="1" t="s">
        <v>181</v>
      </c>
      <c r="C31" s="12">
        <v>4</v>
      </c>
      <c r="D31" s="1" t="s">
        <v>45</v>
      </c>
      <c r="G31" s="12">
        <v>4</v>
      </c>
      <c r="H31" s="1" t="s">
        <v>45</v>
      </c>
    </row>
    <row r="32" spans="1:8" x14ac:dyDescent="0.2">
      <c r="A32" s="1" t="s">
        <v>136</v>
      </c>
      <c r="C32" s="12">
        <v>3</v>
      </c>
      <c r="D32" s="1" t="s">
        <v>42</v>
      </c>
      <c r="G32" s="12">
        <v>3</v>
      </c>
      <c r="H32" s="1" t="s">
        <v>42</v>
      </c>
    </row>
    <row r="33" spans="1:9" x14ac:dyDescent="0.2">
      <c r="A33" s="1" t="s">
        <v>1742</v>
      </c>
      <c r="C33" s="12">
        <v>-200000</v>
      </c>
      <c r="D33" s="1" t="s">
        <v>39</v>
      </c>
      <c r="G33" s="91">
        <v>-200000</v>
      </c>
      <c r="H33" s="1" t="s">
        <v>39</v>
      </c>
      <c r="I33" s="40" t="s">
        <v>813</v>
      </c>
    </row>
    <row r="34" spans="1:9" x14ac:dyDescent="0.2">
      <c r="A34" s="1" t="s">
        <v>1743</v>
      </c>
      <c r="C34" s="12">
        <v>0</v>
      </c>
      <c r="D34" s="1" t="s">
        <v>47</v>
      </c>
      <c r="G34" s="12">
        <v>0</v>
      </c>
      <c r="H34" s="1" t="s">
        <v>47</v>
      </c>
    </row>
    <row r="35" spans="1:9" x14ac:dyDescent="0.2">
      <c r="A35" s="1" t="s">
        <v>1747</v>
      </c>
      <c r="C35" s="91">
        <f>200000*1.03^4</f>
        <v>225101.76199999999</v>
      </c>
      <c r="D35" s="1" t="s">
        <v>50</v>
      </c>
      <c r="E35" s="40" t="s">
        <v>813</v>
      </c>
      <c r="G35" s="12">
        <v>225102</v>
      </c>
      <c r="H35" s="1" t="s">
        <v>50</v>
      </c>
      <c r="I35" s="1" t="s">
        <v>1636</v>
      </c>
    </row>
    <row r="37" spans="1:9" x14ac:dyDescent="0.2">
      <c r="A37" s="2" t="s">
        <v>1748</v>
      </c>
    </row>
    <row r="38" spans="1:9" x14ac:dyDescent="0.2">
      <c r="A38" s="1" t="s">
        <v>1749</v>
      </c>
    </row>
    <row r="40" spans="1:9" x14ac:dyDescent="0.2">
      <c r="A40" s="2" t="s">
        <v>1758</v>
      </c>
    </row>
    <row r="41" spans="1:9" x14ac:dyDescent="0.2">
      <c r="A41" s="1" t="s">
        <v>1752</v>
      </c>
    </row>
    <row r="43" spans="1:9" x14ac:dyDescent="0.2">
      <c r="A43" s="1" t="s">
        <v>1754</v>
      </c>
    </row>
    <row r="44" spans="1:9" x14ac:dyDescent="0.2">
      <c r="A44" s="1" t="s">
        <v>1753</v>
      </c>
    </row>
    <row r="45" spans="1:9" x14ac:dyDescent="0.2">
      <c r="A45" s="1" t="s">
        <v>1755</v>
      </c>
    </row>
    <row r="46" spans="1:9" ht="17" thickBot="1" x14ac:dyDescent="0.25"/>
    <row r="47" spans="1:9" x14ac:dyDescent="0.2">
      <c r="A47" s="30" t="s">
        <v>1750</v>
      </c>
      <c r="B47" s="31"/>
      <c r="C47" s="31"/>
      <c r="D47" s="31"/>
      <c r="E47" s="31"/>
      <c r="F47" s="31"/>
      <c r="G47" s="31"/>
      <c r="H47" s="23"/>
    </row>
    <row r="48" spans="1:9" ht="17" thickBot="1" x14ac:dyDescent="0.25">
      <c r="A48" s="26" t="s">
        <v>1751</v>
      </c>
      <c r="B48" s="27"/>
      <c r="C48" s="27"/>
      <c r="D48" s="27"/>
      <c r="E48" s="27"/>
      <c r="F48" s="27"/>
      <c r="G48" s="27"/>
      <c r="H48" s="28"/>
    </row>
    <row r="52" spans="1:8" x14ac:dyDescent="0.2">
      <c r="A52" s="77" t="s">
        <v>464</v>
      </c>
      <c r="B52" s="77"/>
      <c r="C52" s="77"/>
      <c r="D52" s="77"/>
      <c r="E52" s="77"/>
      <c r="F52" s="77"/>
      <c r="G52" s="285" t="s">
        <v>1756</v>
      </c>
      <c r="H52" s="77"/>
    </row>
    <row r="53" spans="1:8" x14ac:dyDescent="0.2">
      <c r="A53" s="1" t="s">
        <v>465</v>
      </c>
    </row>
    <row r="54" spans="1:8" x14ac:dyDescent="0.2">
      <c r="A54" s="1" t="s">
        <v>470</v>
      </c>
    </row>
    <row r="56" spans="1:8" x14ac:dyDescent="0.2">
      <c r="A56" s="1" t="s">
        <v>27</v>
      </c>
    </row>
    <row r="58" spans="1:8" x14ac:dyDescent="0.2">
      <c r="A58" s="1" t="s">
        <v>466</v>
      </c>
    </row>
    <row r="59" spans="1:8" x14ac:dyDescent="0.2">
      <c r="A59" s="1" t="s">
        <v>467</v>
      </c>
    </row>
    <row r="61" spans="1:8" x14ac:dyDescent="0.2">
      <c r="A61" s="78" t="s">
        <v>468</v>
      </c>
    </row>
    <row r="62" spans="1:8" x14ac:dyDescent="0.2">
      <c r="F62" s="79" t="s">
        <v>177</v>
      </c>
    </row>
    <row r="63" spans="1:8" x14ac:dyDescent="0.2">
      <c r="A63" s="1" t="s">
        <v>469</v>
      </c>
      <c r="E63" s="12">
        <v>6</v>
      </c>
      <c r="F63" s="1" t="s">
        <v>42</v>
      </c>
    </row>
    <row r="64" spans="1:8" x14ac:dyDescent="0.2">
      <c r="A64" s="1" t="s">
        <v>471</v>
      </c>
      <c r="E64" s="12">
        <v>7</v>
      </c>
      <c r="F64" s="1" t="s">
        <v>45</v>
      </c>
    </row>
    <row r="65" spans="1:8" x14ac:dyDescent="0.2">
      <c r="A65" s="1" t="s">
        <v>474</v>
      </c>
      <c r="E65" s="80">
        <f>PV(E63/100,E64,E66,E67)</f>
        <v>-199517.1340867008</v>
      </c>
      <c r="F65" s="1" t="s">
        <v>39</v>
      </c>
      <c r="G65" s="40" t="s">
        <v>51</v>
      </c>
    </row>
    <row r="66" spans="1:8" x14ac:dyDescent="0.2">
      <c r="A66" s="1" t="s">
        <v>472</v>
      </c>
      <c r="E66" s="12">
        <v>0</v>
      </c>
      <c r="F66" s="1" t="s">
        <v>47</v>
      </c>
    </row>
    <row r="67" spans="1:8" x14ac:dyDescent="0.2">
      <c r="A67" s="1" t="s">
        <v>473</v>
      </c>
      <c r="E67" s="18">
        <v>300000</v>
      </c>
      <c r="F67" s="1" t="s">
        <v>50</v>
      </c>
    </row>
    <row r="69" spans="1:8" x14ac:dyDescent="0.2">
      <c r="A69" s="1" t="s">
        <v>475</v>
      </c>
    </row>
    <row r="70" spans="1:8" x14ac:dyDescent="0.2">
      <c r="A70" s="1" t="s">
        <v>476</v>
      </c>
    </row>
    <row r="72" spans="1:8" x14ac:dyDescent="0.2">
      <c r="A72" s="11" t="s">
        <v>1757</v>
      </c>
      <c r="B72" s="11"/>
      <c r="C72" s="11"/>
      <c r="D72" s="11"/>
      <c r="E72" s="11"/>
      <c r="F72" s="11"/>
      <c r="G72" s="11"/>
      <c r="H72" s="11"/>
    </row>
    <row r="74" spans="1:8" x14ac:dyDescent="0.2">
      <c r="A74" s="1" t="s">
        <v>1759</v>
      </c>
    </row>
    <row r="75" spans="1:8" x14ac:dyDescent="0.2">
      <c r="A75" s="1" t="s">
        <v>1760</v>
      </c>
    </row>
    <row r="76" spans="1:8" x14ac:dyDescent="0.2">
      <c r="A76" s="1" t="s">
        <v>1761</v>
      </c>
    </row>
    <row r="77" spans="1:8" x14ac:dyDescent="0.2">
      <c r="A77" s="1" t="s">
        <v>1762</v>
      </c>
    </row>
    <row r="78" spans="1:8" x14ac:dyDescent="0.2">
      <c r="A78" s="1" t="s">
        <v>1763</v>
      </c>
    </row>
    <row r="80" spans="1:8" x14ac:dyDescent="0.2">
      <c r="A80" s="2" t="s">
        <v>1764</v>
      </c>
      <c r="F80" s="1" t="s">
        <v>1766</v>
      </c>
    </row>
    <row r="81" spans="1:8" x14ac:dyDescent="0.2">
      <c r="A81" s="1" t="s">
        <v>1765</v>
      </c>
      <c r="F81" s="2" t="s">
        <v>1767</v>
      </c>
    </row>
    <row r="82" spans="1:8" ht="17" thickBot="1" x14ac:dyDescent="0.25"/>
    <row r="83" spans="1:8" x14ac:dyDescent="0.2">
      <c r="C83" s="286" t="s">
        <v>292</v>
      </c>
      <c r="D83" s="286" t="s">
        <v>291</v>
      </c>
      <c r="E83" s="286" t="s">
        <v>290</v>
      </c>
      <c r="F83" s="59" t="s">
        <v>177</v>
      </c>
    </row>
    <row r="84" spans="1:8" x14ac:dyDescent="0.2">
      <c r="C84" s="192" t="s">
        <v>179</v>
      </c>
      <c r="D84" s="192" t="s">
        <v>179</v>
      </c>
      <c r="E84" s="192" t="s">
        <v>179</v>
      </c>
      <c r="F84" s="12" t="s">
        <v>178</v>
      </c>
    </row>
    <row r="85" spans="1:8" x14ac:dyDescent="0.2">
      <c r="C85" s="192">
        <f>10*4</f>
        <v>40</v>
      </c>
      <c r="D85" s="192">
        <f>10*12</f>
        <v>120</v>
      </c>
      <c r="E85" s="192">
        <v>10</v>
      </c>
      <c r="F85" s="12" t="s">
        <v>45</v>
      </c>
    </row>
    <row r="86" spans="1:8" x14ac:dyDescent="0.2">
      <c r="C86" s="192">
        <v>1</v>
      </c>
      <c r="D86" s="192">
        <v>0.5</v>
      </c>
      <c r="E86" s="192">
        <v>4</v>
      </c>
      <c r="F86" s="12" t="s">
        <v>42</v>
      </c>
    </row>
    <row r="87" spans="1:8" x14ac:dyDescent="0.2">
      <c r="C87" s="287">
        <f t="shared" ref="C87:D87" si="0">PV(C86/100,C85,C88,C89)</f>
        <v>-335826.56943021901</v>
      </c>
      <c r="D87" s="287">
        <f t="shared" si="0"/>
        <v>-274816.36668208335</v>
      </c>
      <c r="E87" s="287">
        <f>PV(E86/100,E85,E88,E89)</f>
        <v>-337782.08441289928</v>
      </c>
      <c r="F87" s="12" t="s">
        <v>39</v>
      </c>
      <c r="G87" s="1" t="s">
        <v>813</v>
      </c>
    </row>
    <row r="88" spans="1:8" x14ac:dyDescent="0.2">
      <c r="C88" s="192">
        <v>0</v>
      </c>
      <c r="D88" s="192">
        <v>0</v>
      </c>
      <c r="E88" s="192">
        <v>0</v>
      </c>
      <c r="F88" s="12" t="s">
        <v>47</v>
      </c>
    </row>
    <row r="89" spans="1:8" ht="17" thickBot="1" x14ac:dyDescent="0.25">
      <c r="C89" s="44">
        <v>500000</v>
      </c>
      <c r="D89" s="44">
        <v>500000</v>
      </c>
      <c r="E89" s="44">
        <v>500000</v>
      </c>
      <c r="F89" s="12" t="s">
        <v>50</v>
      </c>
    </row>
    <row r="91" spans="1:8" x14ac:dyDescent="0.2">
      <c r="C91" s="2" t="s">
        <v>1771</v>
      </c>
      <c r="D91" s="2" t="s">
        <v>1771</v>
      </c>
      <c r="E91" s="2" t="s">
        <v>1768</v>
      </c>
    </row>
    <row r="92" spans="1:8" x14ac:dyDescent="0.2">
      <c r="C92" s="2" t="s">
        <v>1773</v>
      </c>
      <c r="D92" s="2" t="s">
        <v>1772</v>
      </c>
      <c r="E92" s="2" t="s">
        <v>1769</v>
      </c>
    </row>
    <row r="93" spans="1:8" x14ac:dyDescent="0.2">
      <c r="C93" s="288">
        <f>-C87</f>
        <v>335826.56943021901</v>
      </c>
      <c r="D93" s="288">
        <f>-D87</f>
        <v>274816.36668208335</v>
      </c>
      <c r="E93" s="2" t="s">
        <v>1770</v>
      </c>
    </row>
    <row r="94" spans="1:8" x14ac:dyDescent="0.2">
      <c r="E94" s="2"/>
    </row>
    <row r="95" spans="1:8" x14ac:dyDescent="0.2">
      <c r="A95" s="77" t="s">
        <v>477</v>
      </c>
      <c r="B95" s="77"/>
      <c r="C95" s="77"/>
      <c r="D95" s="77"/>
      <c r="E95" s="77"/>
      <c r="F95" s="77"/>
      <c r="G95" s="77" t="s">
        <v>1756</v>
      </c>
      <c r="H95" s="77"/>
    </row>
    <row r="96" spans="1:8" x14ac:dyDescent="0.2">
      <c r="A96" s="1" t="s">
        <v>478</v>
      </c>
    </row>
    <row r="97" spans="1:8" x14ac:dyDescent="0.2">
      <c r="A97" s="1" t="s">
        <v>479</v>
      </c>
    </row>
    <row r="99" spans="1:8" x14ac:dyDescent="0.2">
      <c r="A99" s="78" t="s">
        <v>468</v>
      </c>
    </row>
    <row r="100" spans="1:8" x14ac:dyDescent="0.2">
      <c r="F100" s="79" t="s">
        <v>177</v>
      </c>
    </row>
    <row r="101" spans="1:8" x14ac:dyDescent="0.2">
      <c r="A101" s="1" t="s">
        <v>480</v>
      </c>
      <c r="E101" s="70">
        <v>0.4</v>
      </c>
      <c r="F101" s="1" t="s">
        <v>42</v>
      </c>
    </row>
    <row r="102" spans="1:8" x14ac:dyDescent="0.2">
      <c r="A102" s="1" t="s">
        <v>481</v>
      </c>
      <c r="E102" s="70">
        <v>36</v>
      </c>
      <c r="F102" s="1" t="s">
        <v>45</v>
      </c>
    </row>
    <row r="103" spans="1:8" x14ac:dyDescent="0.2">
      <c r="A103" s="1" t="s">
        <v>474</v>
      </c>
      <c r="E103" s="80">
        <f>PV(E101/100,E102,E104,E105)</f>
        <v>-17322.729928806406</v>
      </c>
      <c r="F103" s="1" t="s">
        <v>39</v>
      </c>
      <c r="G103" s="40" t="s">
        <v>51</v>
      </c>
    </row>
    <row r="104" spans="1:8" x14ac:dyDescent="0.2">
      <c r="E104" s="70">
        <v>0</v>
      </c>
      <c r="F104" s="1" t="s">
        <v>47</v>
      </c>
    </row>
    <row r="105" spans="1:8" x14ac:dyDescent="0.2">
      <c r="A105" s="1" t="s">
        <v>473</v>
      </c>
      <c r="E105" s="81">
        <v>20000</v>
      </c>
      <c r="F105" s="1" t="s">
        <v>50</v>
      </c>
    </row>
    <row r="107" spans="1:8" x14ac:dyDescent="0.2">
      <c r="A107" s="1" t="s">
        <v>482</v>
      </c>
    </row>
    <row r="109" spans="1:8" x14ac:dyDescent="0.2">
      <c r="A109" s="77" t="s">
        <v>1774</v>
      </c>
      <c r="B109" s="77"/>
      <c r="C109" s="77"/>
      <c r="D109" s="77"/>
      <c r="E109" s="77"/>
      <c r="F109" s="77"/>
      <c r="G109" s="77"/>
      <c r="H109" s="77"/>
    </row>
    <row r="110" spans="1:8" x14ac:dyDescent="0.2">
      <c r="A110" s="1" t="s">
        <v>1775</v>
      </c>
    </row>
    <row r="111" spans="1:8" x14ac:dyDescent="0.2">
      <c r="A111" s="1" t="s">
        <v>1776</v>
      </c>
    </row>
    <row r="112" spans="1:8" x14ac:dyDescent="0.2">
      <c r="A112" s="1" t="s">
        <v>1777</v>
      </c>
    </row>
    <row r="113" spans="1:8" x14ac:dyDescent="0.2">
      <c r="A113" s="1" t="s">
        <v>1778</v>
      </c>
    </row>
    <row r="115" spans="1:8" x14ac:dyDescent="0.2">
      <c r="C115" s="1" t="s">
        <v>1780</v>
      </c>
      <c r="D115" s="58"/>
      <c r="E115" s="58" t="s">
        <v>177</v>
      </c>
    </row>
    <row r="116" spans="1:8" x14ac:dyDescent="0.2">
      <c r="D116" s="12" t="s">
        <v>179</v>
      </c>
      <c r="E116" s="12" t="s">
        <v>178</v>
      </c>
    </row>
    <row r="117" spans="1:8" x14ac:dyDescent="0.2">
      <c r="C117" s="1" t="s">
        <v>1781</v>
      </c>
      <c r="D117" s="12">
        <f>10*12</f>
        <v>120</v>
      </c>
      <c r="E117" s="12" t="s">
        <v>45</v>
      </c>
      <c r="F117" s="159" t="s">
        <v>1779</v>
      </c>
    </row>
    <row r="118" spans="1:8" x14ac:dyDescent="0.2">
      <c r="C118" s="1" t="s">
        <v>1783</v>
      </c>
      <c r="D118" s="12">
        <f>(1.08^(1/12)-1)*100</f>
        <v>0.64340301100034303</v>
      </c>
      <c r="E118" s="12" t="s">
        <v>42</v>
      </c>
      <c r="F118" s="159" t="s">
        <v>1782</v>
      </c>
    </row>
    <row r="119" spans="1:8" x14ac:dyDescent="0.2">
      <c r="D119" s="80">
        <f>PV(D118/100,D117,D120,D121)</f>
        <v>-250297.17116836525</v>
      </c>
      <c r="E119" s="12" t="s">
        <v>39</v>
      </c>
      <c r="F119" s="289" t="s">
        <v>813</v>
      </c>
    </row>
    <row r="120" spans="1:8" x14ac:dyDescent="0.2">
      <c r="D120" s="12">
        <v>3000</v>
      </c>
      <c r="E120" s="12" t="s">
        <v>47</v>
      </c>
      <c r="F120" s="159" t="s">
        <v>1784</v>
      </c>
    </row>
    <row r="121" spans="1:8" x14ac:dyDescent="0.2">
      <c r="D121" s="12">
        <v>0</v>
      </c>
      <c r="E121" s="12" t="s">
        <v>50</v>
      </c>
      <c r="F121" s="1" t="s">
        <v>1785</v>
      </c>
    </row>
    <row r="122" spans="1:8" x14ac:dyDescent="0.2">
      <c r="D122" s="12"/>
      <c r="E122" s="12"/>
    </row>
    <row r="123" spans="1:8" x14ac:dyDescent="0.2">
      <c r="A123" s="1" t="s">
        <v>1786</v>
      </c>
    </row>
    <row r="125" spans="1:8" x14ac:dyDescent="0.2">
      <c r="A125" s="77" t="s">
        <v>1787</v>
      </c>
      <c r="B125" s="77"/>
      <c r="C125" s="77"/>
      <c r="D125" s="77"/>
      <c r="E125" s="77"/>
      <c r="F125" s="77"/>
      <c r="G125" s="77"/>
      <c r="H125" s="77"/>
    </row>
    <row r="126" spans="1:8" x14ac:dyDescent="0.2">
      <c r="A126" s="1" t="s">
        <v>1796</v>
      </c>
    </row>
    <row r="127" spans="1:8" x14ac:dyDescent="0.2">
      <c r="A127" s="1" t="s">
        <v>1788</v>
      </c>
    </row>
    <row r="128" spans="1:8" x14ac:dyDescent="0.2">
      <c r="A128" s="1" t="s">
        <v>1789</v>
      </c>
    </row>
    <row r="129" spans="1:8" x14ac:dyDescent="0.2">
      <c r="A129" s="1" t="s">
        <v>1790</v>
      </c>
    </row>
    <row r="131" spans="1:8" x14ac:dyDescent="0.2">
      <c r="A131" s="1" t="s">
        <v>1791</v>
      </c>
      <c r="D131" s="58"/>
      <c r="E131" s="58"/>
      <c r="F131" s="58" t="s">
        <v>177</v>
      </c>
    </row>
    <row r="132" spans="1:8" x14ac:dyDescent="0.2">
      <c r="A132" s="1" t="s">
        <v>1792</v>
      </c>
      <c r="E132" s="12" t="s">
        <v>179</v>
      </c>
      <c r="F132" s="1" t="s">
        <v>178</v>
      </c>
    </row>
    <row r="133" spans="1:8" x14ac:dyDescent="0.2">
      <c r="A133" s="1" t="s">
        <v>1793</v>
      </c>
      <c r="E133" s="12">
        <f>4*12</f>
        <v>48</v>
      </c>
      <c r="F133" s="1" t="s">
        <v>45</v>
      </c>
    </row>
    <row r="134" spans="1:8" x14ac:dyDescent="0.2">
      <c r="A134" s="1" t="s">
        <v>1794</v>
      </c>
      <c r="E134" s="12">
        <v>1</v>
      </c>
      <c r="F134" s="1" t="s">
        <v>42</v>
      </c>
    </row>
    <row r="135" spans="1:8" x14ac:dyDescent="0.2">
      <c r="A135" s="1" t="s">
        <v>1795</v>
      </c>
      <c r="E135" s="42">
        <f>PV(E134/100,E133,E136,E137)</f>
        <v>-238250.10906248679</v>
      </c>
      <c r="F135" s="1" t="s">
        <v>39</v>
      </c>
      <c r="G135" s="291" t="s">
        <v>813</v>
      </c>
    </row>
    <row r="136" spans="1:8" x14ac:dyDescent="0.2">
      <c r="E136" s="12">
        <v>5000</v>
      </c>
      <c r="F136" s="1" t="s">
        <v>47</v>
      </c>
    </row>
    <row r="137" spans="1:8" x14ac:dyDescent="0.2">
      <c r="E137" s="12">
        <v>78000</v>
      </c>
      <c r="F137" s="1" t="s">
        <v>50</v>
      </c>
    </row>
    <row r="142" spans="1:8" x14ac:dyDescent="0.2">
      <c r="A142" s="77" t="s">
        <v>483</v>
      </c>
      <c r="B142" s="77"/>
      <c r="C142" s="77"/>
      <c r="D142" s="77"/>
      <c r="E142" s="77"/>
      <c r="F142" s="77" t="s">
        <v>1756</v>
      </c>
      <c r="G142" s="77"/>
      <c r="H142" s="77"/>
    </row>
    <row r="143" spans="1:8" x14ac:dyDescent="0.2">
      <c r="A143" s="1" t="s">
        <v>484</v>
      </c>
    </row>
    <row r="144" spans="1:8" x14ac:dyDescent="0.2">
      <c r="A144" s="1" t="s">
        <v>485</v>
      </c>
    </row>
    <row r="145" spans="1:8" x14ac:dyDescent="0.2">
      <c r="A145" s="1" t="s">
        <v>486</v>
      </c>
    </row>
    <row r="147" spans="1:8" x14ac:dyDescent="0.2">
      <c r="A147" s="78" t="s">
        <v>487</v>
      </c>
    </row>
    <row r="148" spans="1:8" x14ac:dyDescent="0.2">
      <c r="F148" s="79" t="s">
        <v>177</v>
      </c>
    </row>
    <row r="149" spans="1:8" x14ac:dyDescent="0.2">
      <c r="A149" s="1" t="s">
        <v>488</v>
      </c>
      <c r="E149" s="70">
        <v>0.9</v>
      </c>
      <c r="F149" s="1" t="s">
        <v>42</v>
      </c>
    </row>
    <row r="150" spans="1:8" x14ac:dyDescent="0.2">
      <c r="A150" s="1" t="s">
        <v>489</v>
      </c>
      <c r="E150" s="70">
        <f>12*20</f>
        <v>240</v>
      </c>
      <c r="F150" s="1" t="s">
        <v>45</v>
      </c>
    </row>
    <row r="151" spans="1:8" x14ac:dyDescent="0.2">
      <c r="A151" s="1" t="s">
        <v>493</v>
      </c>
      <c r="E151" s="80">
        <f>PV(E149/100,E150,E152,E153)</f>
        <v>-687209.59919813834</v>
      </c>
      <c r="F151" s="1" t="s">
        <v>39</v>
      </c>
      <c r="G151" s="40" t="s">
        <v>51</v>
      </c>
    </row>
    <row r="152" spans="1:8" x14ac:dyDescent="0.2">
      <c r="A152" s="1" t="s">
        <v>490</v>
      </c>
      <c r="E152" s="70">
        <v>7000</v>
      </c>
      <c r="F152" s="1" t="s">
        <v>47</v>
      </c>
    </row>
    <row r="153" spans="1:8" x14ac:dyDescent="0.2">
      <c r="A153" s="1" t="s">
        <v>491</v>
      </c>
      <c r="E153" s="81">
        <v>0</v>
      </c>
      <c r="F153" s="1" t="s">
        <v>50</v>
      </c>
    </row>
    <row r="155" spans="1:8" x14ac:dyDescent="0.2">
      <c r="A155" s="1" t="s">
        <v>492</v>
      </c>
    </row>
    <row r="157" spans="1:8" x14ac:dyDescent="0.2">
      <c r="A157" s="77" t="s">
        <v>494</v>
      </c>
      <c r="B157" s="77"/>
      <c r="C157" s="77"/>
      <c r="D157" s="77"/>
      <c r="E157" s="77"/>
      <c r="F157" s="77" t="s">
        <v>1756</v>
      </c>
      <c r="G157" s="77"/>
      <c r="H157" s="77"/>
    </row>
    <row r="158" spans="1:8" x14ac:dyDescent="0.2">
      <c r="A158" s="1" t="s">
        <v>495</v>
      </c>
    </row>
    <row r="159" spans="1:8" x14ac:dyDescent="0.2">
      <c r="A159" s="1" t="s">
        <v>496</v>
      </c>
    </row>
    <row r="160" spans="1:8" x14ac:dyDescent="0.2">
      <c r="A160" s="1" t="s">
        <v>497</v>
      </c>
    </row>
    <row r="161" spans="1:8" x14ac:dyDescent="0.2">
      <c r="A161" s="1" t="s">
        <v>498</v>
      </c>
    </row>
    <row r="163" spans="1:8" x14ac:dyDescent="0.2">
      <c r="A163" s="78" t="s">
        <v>487</v>
      </c>
    </row>
    <row r="164" spans="1:8" x14ac:dyDescent="0.2">
      <c r="F164" s="79" t="s">
        <v>177</v>
      </c>
    </row>
    <row r="165" spans="1:8" x14ac:dyDescent="0.2">
      <c r="A165" s="1" t="s">
        <v>488</v>
      </c>
      <c r="E165" s="70">
        <v>0.4</v>
      </c>
      <c r="F165" s="1" t="s">
        <v>42</v>
      </c>
    </row>
    <row r="166" spans="1:8" x14ac:dyDescent="0.2">
      <c r="A166" s="1" t="s">
        <v>489</v>
      </c>
      <c r="E166" s="70">
        <f>5*12</f>
        <v>60</v>
      </c>
      <c r="F166" s="1" t="s">
        <v>45</v>
      </c>
    </row>
    <row r="167" spans="1:8" x14ac:dyDescent="0.2">
      <c r="A167" s="1" t="s">
        <v>499</v>
      </c>
      <c r="E167" s="80">
        <f>PV(E165/100,E166,E168,E169)</f>
        <v>-798733.01730031508</v>
      </c>
      <c r="F167" s="1" t="s">
        <v>39</v>
      </c>
      <c r="G167" s="40" t="s">
        <v>51</v>
      </c>
    </row>
    <row r="168" spans="1:8" x14ac:dyDescent="0.2">
      <c r="A168" s="1" t="s">
        <v>490</v>
      </c>
      <c r="E168" s="70">
        <v>15000</v>
      </c>
      <c r="F168" s="1" t="s">
        <v>47</v>
      </c>
    </row>
    <row r="169" spans="1:8" x14ac:dyDescent="0.2">
      <c r="A169" s="1" t="s">
        <v>491</v>
      </c>
      <c r="E169" s="81">
        <v>0</v>
      </c>
      <c r="F169" s="1" t="s">
        <v>50</v>
      </c>
    </row>
    <row r="171" spans="1:8" x14ac:dyDescent="0.2">
      <c r="A171" s="1" t="s">
        <v>500</v>
      </c>
    </row>
    <row r="173" spans="1:8" ht="17" thickBot="1" x14ac:dyDescent="0.25">
      <c r="A173" s="77" t="s">
        <v>501</v>
      </c>
      <c r="B173" s="82"/>
      <c r="C173" s="82"/>
      <c r="D173" s="82"/>
      <c r="E173" s="82"/>
      <c r="F173" s="82" t="s">
        <v>1756</v>
      </c>
      <c r="G173" s="82"/>
      <c r="H173" s="82"/>
    </row>
    <row r="174" spans="1:8" x14ac:dyDescent="0.2">
      <c r="A174" s="1" t="s">
        <v>502</v>
      </c>
      <c r="H174" s="235" t="s">
        <v>506</v>
      </c>
    </row>
    <row r="175" spans="1:8" x14ac:dyDescent="0.2">
      <c r="A175" s="1" t="s">
        <v>503</v>
      </c>
      <c r="H175" s="236"/>
    </row>
    <row r="176" spans="1:8" x14ac:dyDescent="0.2">
      <c r="A176" s="1" t="s">
        <v>504</v>
      </c>
      <c r="H176" s="236"/>
    </row>
    <row r="177" spans="1:8" ht="17" thickBot="1" x14ac:dyDescent="0.25">
      <c r="A177" s="1" t="s">
        <v>505</v>
      </c>
      <c r="H177" s="237"/>
    </row>
    <row r="179" spans="1:8" x14ac:dyDescent="0.2">
      <c r="A179" s="78" t="s">
        <v>487</v>
      </c>
    </row>
    <row r="180" spans="1:8" x14ac:dyDescent="0.2">
      <c r="F180" s="79" t="s">
        <v>177</v>
      </c>
    </row>
    <row r="181" spans="1:8" x14ac:dyDescent="0.2">
      <c r="A181" s="1" t="s">
        <v>488</v>
      </c>
      <c r="E181" s="83">
        <f>((1+6%)^(1/12)-1)*100</f>
        <v>0.48675505653430484</v>
      </c>
      <c r="F181" s="1" t="s">
        <v>42</v>
      </c>
    </row>
    <row r="182" spans="1:8" x14ac:dyDescent="0.2">
      <c r="A182" s="1" t="s">
        <v>489</v>
      </c>
      <c r="E182" s="70">
        <f>5*12</f>
        <v>60</v>
      </c>
      <c r="F182" s="1" t="s">
        <v>45</v>
      </c>
    </row>
    <row r="183" spans="1:8" x14ac:dyDescent="0.2">
      <c r="A183" s="1" t="s">
        <v>499</v>
      </c>
      <c r="E183" s="80">
        <f>PV(E181/100,E182,E184,E185)</f>
        <v>-185661.79168388373</v>
      </c>
      <c r="F183" s="1" t="s">
        <v>39</v>
      </c>
      <c r="G183" s="40" t="s">
        <v>51</v>
      </c>
    </row>
    <row r="184" spans="1:8" x14ac:dyDescent="0.2">
      <c r="A184" s="1" t="s">
        <v>490</v>
      </c>
      <c r="E184" s="70">
        <v>3000</v>
      </c>
      <c r="F184" s="1" t="s">
        <v>47</v>
      </c>
    </row>
    <row r="185" spans="1:8" x14ac:dyDescent="0.2">
      <c r="A185" s="1" t="s">
        <v>491</v>
      </c>
      <c r="E185" s="81">
        <v>40000</v>
      </c>
      <c r="F185" s="1" t="s">
        <v>50</v>
      </c>
    </row>
    <row r="187" spans="1:8" x14ac:dyDescent="0.2">
      <c r="A187" s="1" t="s">
        <v>507</v>
      </c>
    </row>
    <row r="188" spans="1:8" x14ac:dyDescent="0.2">
      <c r="A188" s="1" t="s">
        <v>508</v>
      </c>
    </row>
    <row r="189" spans="1:8" x14ac:dyDescent="0.2">
      <c r="A189" s="1" t="s">
        <v>509</v>
      </c>
    </row>
    <row r="190" spans="1:8" x14ac:dyDescent="0.2">
      <c r="A190" s="1" t="s">
        <v>510</v>
      </c>
    </row>
    <row r="192" spans="1:8" x14ac:dyDescent="0.2">
      <c r="A192" s="1" t="s">
        <v>511</v>
      </c>
    </row>
    <row r="194" spans="1:8" x14ac:dyDescent="0.2">
      <c r="A194" s="1" t="s">
        <v>512</v>
      </c>
      <c r="E194" s="1">
        <f>(1+6%)^(1/12)-1</f>
        <v>4.8675505653430484E-3</v>
      </c>
      <c r="G194" s="1" t="s">
        <v>515</v>
      </c>
    </row>
    <row r="195" spans="1:8" x14ac:dyDescent="0.2">
      <c r="E195" s="1">
        <f>(1+6%)^(1/12)-1</f>
        <v>4.8675505653430484E-3</v>
      </c>
      <c r="G195" s="1" t="s">
        <v>516</v>
      </c>
    </row>
    <row r="197" spans="1:8" x14ac:dyDescent="0.2">
      <c r="A197" s="1" t="s">
        <v>513</v>
      </c>
    </row>
    <row r="198" spans="1:8" x14ac:dyDescent="0.2">
      <c r="E198" s="84">
        <f>E194*100</f>
        <v>0.48675505653430484</v>
      </c>
      <c r="G198" s="1" t="s">
        <v>514</v>
      </c>
    </row>
    <row r="200" spans="1:8" ht="17" thickBot="1" x14ac:dyDescent="0.25">
      <c r="A200" s="77" t="s">
        <v>517</v>
      </c>
      <c r="B200" s="82"/>
      <c r="C200" s="82"/>
      <c r="D200" s="82"/>
      <c r="E200" s="82"/>
      <c r="F200" s="82"/>
      <c r="G200" s="82" t="s">
        <v>1756</v>
      </c>
      <c r="H200" s="82"/>
    </row>
    <row r="201" spans="1:8" x14ac:dyDescent="0.2">
      <c r="A201" s="1" t="s">
        <v>518</v>
      </c>
      <c r="H201" s="235" t="s">
        <v>506</v>
      </c>
    </row>
    <row r="202" spans="1:8" x14ac:dyDescent="0.2">
      <c r="A202" s="1" t="s">
        <v>519</v>
      </c>
      <c r="H202" s="236"/>
    </row>
    <row r="203" spans="1:8" x14ac:dyDescent="0.2">
      <c r="A203" s="1" t="s">
        <v>520</v>
      </c>
      <c r="H203" s="236"/>
    </row>
    <row r="204" spans="1:8" ht="17" thickBot="1" x14ac:dyDescent="0.25">
      <c r="A204" s="1" t="s">
        <v>521</v>
      </c>
      <c r="H204" s="237"/>
    </row>
    <row r="206" spans="1:8" x14ac:dyDescent="0.2">
      <c r="A206" s="78" t="s">
        <v>487</v>
      </c>
    </row>
    <row r="207" spans="1:8" x14ac:dyDescent="0.2">
      <c r="F207" s="79" t="s">
        <v>177</v>
      </c>
    </row>
    <row r="208" spans="1:8" x14ac:dyDescent="0.2">
      <c r="A208" s="1" t="s">
        <v>525</v>
      </c>
      <c r="E208" s="85">
        <v>5</v>
      </c>
      <c r="F208" s="1" t="s">
        <v>42</v>
      </c>
    </row>
    <row r="209" spans="1:8" x14ac:dyDescent="0.2">
      <c r="A209" s="1" t="s">
        <v>526</v>
      </c>
      <c r="E209" s="70">
        <f>2*14</f>
        <v>28</v>
      </c>
      <c r="F209" s="1" t="s">
        <v>45</v>
      </c>
    </row>
    <row r="210" spans="1:8" x14ac:dyDescent="0.2">
      <c r="E210" s="80">
        <f>PV(E208/100,E209,E211,E212)</f>
        <v>-3999999.9999999995</v>
      </c>
      <c r="F210" s="1" t="s">
        <v>39</v>
      </c>
      <c r="G210" s="40" t="s">
        <v>51</v>
      </c>
    </row>
    <row r="211" spans="1:8" x14ac:dyDescent="0.2">
      <c r="A211" s="1" t="s">
        <v>527</v>
      </c>
      <c r="E211" s="70">
        <v>200000</v>
      </c>
      <c r="F211" s="1" t="s">
        <v>47</v>
      </c>
    </row>
    <row r="212" spans="1:8" x14ac:dyDescent="0.2">
      <c r="A212" s="1" t="s">
        <v>528</v>
      </c>
      <c r="E212" s="81">
        <v>4000000</v>
      </c>
      <c r="F212" s="1" t="s">
        <v>50</v>
      </c>
    </row>
    <row r="214" spans="1:8" x14ac:dyDescent="0.2">
      <c r="A214" s="1" t="s">
        <v>522</v>
      </c>
    </row>
    <row r="215" spans="1:8" x14ac:dyDescent="0.2">
      <c r="A215" s="1" t="s">
        <v>523</v>
      </c>
    </row>
    <row r="216" spans="1:8" x14ac:dyDescent="0.2">
      <c r="A216" s="1" t="s">
        <v>524</v>
      </c>
    </row>
    <row r="221" spans="1:8" x14ac:dyDescent="0.2">
      <c r="A221" s="1" t="s">
        <v>529</v>
      </c>
    </row>
    <row r="223" spans="1:8" x14ac:dyDescent="0.2">
      <c r="A223" s="82" t="s">
        <v>530</v>
      </c>
      <c r="B223" s="82"/>
      <c r="C223" s="82"/>
      <c r="D223" s="82"/>
      <c r="E223" s="82"/>
      <c r="F223" s="82"/>
      <c r="G223" s="82" t="s">
        <v>1756</v>
      </c>
      <c r="H223" s="82"/>
    </row>
    <row r="224" spans="1:8" x14ac:dyDescent="0.2">
      <c r="A224" s="1" t="s">
        <v>531</v>
      </c>
    </row>
    <row r="225" spans="1:9" x14ac:dyDescent="0.2">
      <c r="A225" s="1" t="s">
        <v>532</v>
      </c>
    </row>
    <row r="226" spans="1:9" x14ac:dyDescent="0.2">
      <c r="A226" s="1" t="s">
        <v>533</v>
      </c>
    </row>
    <row r="227" spans="1:9" x14ac:dyDescent="0.2">
      <c r="A227" s="1" t="s">
        <v>534</v>
      </c>
    </row>
    <row r="228" spans="1:9" x14ac:dyDescent="0.2">
      <c r="A228" s="1" t="s">
        <v>535</v>
      </c>
    </row>
    <row r="229" spans="1:9" x14ac:dyDescent="0.2">
      <c r="A229" s="1" t="s">
        <v>536</v>
      </c>
    </row>
    <row r="230" spans="1:9" x14ac:dyDescent="0.2">
      <c r="A230" s="1" t="s">
        <v>537</v>
      </c>
    </row>
    <row r="231" spans="1:9" x14ac:dyDescent="0.2">
      <c r="A231" s="1" t="s">
        <v>538</v>
      </c>
    </row>
    <row r="233" spans="1:9" x14ac:dyDescent="0.2">
      <c r="A233" s="1" t="s">
        <v>539</v>
      </c>
      <c r="D233" s="12">
        <f>G238</f>
        <v>0.98534065489688238</v>
      </c>
      <c r="E233" s="1" t="s">
        <v>42</v>
      </c>
      <c r="G233" s="1" t="s">
        <v>544</v>
      </c>
    </row>
    <row r="234" spans="1:9" x14ac:dyDescent="0.2">
      <c r="A234" s="1" t="s">
        <v>540</v>
      </c>
      <c r="D234" s="12">
        <f>4*10</f>
        <v>40</v>
      </c>
      <c r="E234" s="1" t="s">
        <v>45</v>
      </c>
    </row>
    <row r="235" spans="1:9" x14ac:dyDescent="0.2">
      <c r="A235" s="1" t="s">
        <v>541</v>
      </c>
      <c r="D235" s="80">
        <f>PV(D233/100,D234,D236,D237)</f>
        <v>-1227613.0959392439</v>
      </c>
      <c r="E235" s="1" t="s">
        <v>39</v>
      </c>
      <c r="G235" s="1">
        <f>1.04^0.25-1</f>
        <v>9.8534065489688238E-3</v>
      </c>
    </row>
    <row r="236" spans="1:9" x14ac:dyDescent="0.2">
      <c r="A236" s="1" t="s">
        <v>542</v>
      </c>
      <c r="D236" s="12">
        <v>30000</v>
      </c>
      <c r="E236" s="1" t="s">
        <v>47</v>
      </c>
      <c r="G236" s="1" t="s">
        <v>545</v>
      </c>
    </row>
    <row r="237" spans="1:9" x14ac:dyDescent="0.2">
      <c r="A237" s="1" t="s">
        <v>543</v>
      </c>
      <c r="D237" s="12">
        <f>400000-45000</f>
        <v>355000</v>
      </c>
      <c r="E237" s="1" t="s">
        <v>50</v>
      </c>
      <c r="G237" s="1" t="s">
        <v>546</v>
      </c>
    </row>
    <row r="238" spans="1:9" x14ac:dyDescent="0.2">
      <c r="D238" s="12"/>
      <c r="G238" s="1">
        <f>G235*100</f>
        <v>0.98534065489688238</v>
      </c>
      <c r="I238" s="1" t="s">
        <v>550</v>
      </c>
    </row>
    <row r="240" spans="1:9" x14ac:dyDescent="0.2">
      <c r="D240" s="1" t="s">
        <v>547</v>
      </c>
      <c r="G240" s="86">
        <v>400000</v>
      </c>
    </row>
    <row r="241" spans="1:8" x14ac:dyDescent="0.2">
      <c r="D241" s="1" t="s">
        <v>548</v>
      </c>
      <c r="G241" s="86">
        <v>-45000</v>
      </c>
    </row>
    <row r="242" spans="1:8" x14ac:dyDescent="0.2">
      <c r="D242" s="1" t="s">
        <v>549</v>
      </c>
      <c r="G242" s="86">
        <f>G240+G241</f>
        <v>355000</v>
      </c>
    </row>
    <row r="244" spans="1:8" x14ac:dyDescent="0.2">
      <c r="A244" s="82" t="s">
        <v>551</v>
      </c>
      <c r="B244" s="82"/>
      <c r="C244" s="82"/>
      <c r="D244" s="82"/>
      <c r="E244" s="82"/>
      <c r="F244" s="82"/>
      <c r="G244" s="82" t="s">
        <v>1756</v>
      </c>
      <c r="H244" s="82"/>
    </row>
    <row r="245" spans="1:8" x14ac:dyDescent="0.2">
      <c r="A245" s="1" t="s">
        <v>552</v>
      </c>
    </row>
    <row r="246" spans="1:8" x14ac:dyDescent="0.2">
      <c r="A246" s="1" t="s">
        <v>553</v>
      </c>
    </row>
    <row r="247" spans="1:8" x14ac:dyDescent="0.2">
      <c r="G247" s="1" t="s">
        <v>554</v>
      </c>
    </row>
    <row r="248" spans="1:8" x14ac:dyDescent="0.2">
      <c r="A248" s="1" t="s">
        <v>555</v>
      </c>
      <c r="D248" s="12">
        <v>1</v>
      </c>
      <c r="E248" s="1" t="s">
        <v>42</v>
      </c>
    </row>
    <row r="249" spans="1:8" x14ac:dyDescent="0.2">
      <c r="A249" s="1" t="s">
        <v>540</v>
      </c>
      <c r="D249" s="12">
        <f>4*12</f>
        <v>48</v>
      </c>
      <c r="E249" s="1" t="s">
        <v>45</v>
      </c>
    </row>
    <row r="250" spans="1:8" x14ac:dyDescent="0.2">
      <c r="A250" s="1" t="s">
        <v>556</v>
      </c>
      <c r="D250" s="80">
        <f>PV(D248/100,D249,D251,D252)</f>
        <v>-1511515.254878429</v>
      </c>
      <c r="E250" s="1" t="s">
        <v>39</v>
      </c>
    </row>
    <row r="251" spans="1:8" x14ac:dyDescent="0.2">
      <c r="A251" s="1" t="s">
        <v>557</v>
      </c>
      <c r="D251" s="12">
        <v>40000</v>
      </c>
      <c r="E251" s="1" t="s">
        <v>47</v>
      </c>
    </row>
    <row r="252" spans="1:8" x14ac:dyDescent="0.2">
      <c r="A252" s="1" t="s">
        <v>558</v>
      </c>
      <c r="D252" s="12">
        <v>-12000</v>
      </c>
      <c r="E252" s="1" t="s">
        <v>50</v>
      </c>
    </row>
    <row r="254" spans="1:8" x14ac:dyDescent="0.2">
      <c r="D254" s="1" t="s">
        <v>559</v>
      </c>
    </row>
    <row r="255" spans="1:8" x14ac:dyDescent="0.2">
      <c r="D255" s="1" t="s">
        <v>560</v>
      </c>
    </row>
    <row r="257" spans="1:8" x14ac:dyDescent="0.2">
      <c r="A257" s="1" t="s">
        <v>561</v>
      </c>
    </row>
    <row r="259" spans="1:8" x14ac:dyDescent="0.2">
      <c r="A259" s="77" t="s">
        <v>1798</v>
      </c>
      <c r="B259" s="82"/>
      <c r="C259" s="82"/>
      <c r="D259" s="82"/>
      <c r="E259" s="82"/>
      <c r="F259" s="82"/>
      <c r="G259" s="82"/>
      <c r="H259" s="82"/>
    </row>
    <row r="260" spans="1:8" x14ac:dyDescent="0.2">
      <c r="A260" s="1" t="s">
        <v>1799</v>
      </c>
    </row>
    <row r="261" spans="1:8" x14ac:dyDescent="0.2">
      <c r="A261" s="1" t="s">
        <v>1800</v>
      </c>
    </row>
    <row r="262" spans="1:8" x14ac:dyDescent="0.2">
      <c r="A262" s="1" t="s">
        <v>1801</v>
      </c>
    </row>
    <row r="263" spans="1:8" x14ac:dyDescent="0.2">
      <c r="A263" s="1" t="s">
        <v>1802</v>
      </c>
    </row>
    <row r="264" spans="1:8" x14ac:dyDescent="0.2">
      <c r="A264" s="1" t="s">
        <v>1803</v>
      </c>
    </row>
    <row r="265" spans="1:8" x14ac:dyDescent="0.2">
      <c r="A265" s="1" t="s">
        <v>1804</v>
      </c>
    </row>
    <row r="266" spans="1:8" x14ac:dyDescent="0.2">
      <c r="A266" s="1" t="s">
        <v>1805</v>
      </c>
    </row>
    <row r="268" spans="1:8" x14ac:dyDescent="0.2">
      <c r="A268" s="1" t="s">
        <v>27</v>
      </c>
    </row>
    <row r="270" spans="1:8" x14ac:dyDescent="0.2">
      <c r="A270" s="2" t="s">
        <v>1806</v>
      </c>
    </row>
    <row r="271" spans="1:8" x14ac:dyDescent="0.2">
      <c r="A271" s="1" t="s">
        <v>1807</v>
      </c>
    </row>
    <row r="273" spans="1:10" x14ac:dyDescent="0.2">
      <c r="E273" s="1" t="s">
        <v>177</v>
      </c>
    </row>
    <row r="274" spans="1:10" x14ac:dyDescent="0.2">
      <c r="D274" s="12" t="s">
        <v>179</v>
      </c>
      <c r="E274" s="1" t="s">
        <v>178</v>
      </c>
    </row>
    <row r="275" spans="1:10" x14ac:dyDescent="0.2">
      <c r="C275" s="1" t="s">
        <v>1809</v>
      </c>
      <c r="D275" s="12">
        <v>60</v>
      </c>
      <c r="E275" s="1" t="s">
        <v>45</v>
      </c>
      <c r="F275" s="1" t="s">
        <v>1808</v>
      </c>
    </row>
    <row r="276" spans="1:10" x14ac:dyDescent="0.2">
      <c r="D276" s="12">
        <f>(1.06^(1/12)-1)*100</f>
        <v>0.48675505653430484</v>
      </c>
      <c r="E276" s="1" t="s">
        <v>42</v>
      </c>
      <c r="F276" s="1" t="s">
        <v>1810</v>
      </c>
    </row>
    <row r="277" spans="1:10" x14ac:dyDescent="0.2">
      <c r="D277" s="80">
        <f>PV(D276/100,D275,D278,D279)</f>
        <v>260003.35845961256</v>
      </c>
      <c r="E277" s="1" t="s">
        <v>39</v>
      </c>
      <c r="F277" s="292" t="s">
        <v>813</v>
      </c>
    </row>
    <row r="278" spans="1:10" x14ac:dyDescent="0.2">
      <c r="D278" s="12">
        <v>-4000</v>
      </c>
      <c r="E278" s="1" t="s">
        <v>47</v>
      </c>
      <c r="F278" s="1" t="s">
        <v>1817</v>
      </c>
    </row>
    <row r="279" spans="1:10" x14ac:dyDescent="0.2">
      <c r="D279" s="12">
        <v>-70000</v>
      </c>
      <c r="E279" s="1" t="s">
        <v>50</v>
      </c>
      <c r="F279" s="1" t="s">
        <v>1818</v>
      </c>
    </row>
    <row r="280" spans="1:10" x14ac:dyDescent="0.2">
      <c r="F280" s="1" t="s">
        <v>1819</v>
      </c>
    </row>
    <row r="281" spans="1:10" ht="17" thickBot="1" x14ac:dyDescent="0.25"/>
    <row r="282" spans="1:10" x14ac:dyDescent="0.2">
      <c r="F282" s="21" t="s">
        <v>1820</v>
      </c>
      <c r="G282" s="31"/>
      <c r="H282" s="31"/>
      <c r="I282" s="31"/>
      <c r="J282" s="23"/>
    </row>
    <row r="283" spans="1:10" x14ac:dyDescent="0.2">
      <c r="F283" s="24" t="s">
        <v>1821</v>
      </c>
      <c r="G283" s="293"/>
      <c r="H283" s="293"/>
      <c r="I283" s="293"/>
      <c r="J283" s="25"/>
    </row>
    <row r="284" spans="1:10" x14ac:dyDescent="0.2">
      <c r="A284" s="1" t="s">
        <v>1811</v>
      </c>
      <c r="B284" s="1" t="s">
        <v>1812</v>
      </c>
      <c r="F284" s="24" t="s">
        <v>1822</v>
      </c>
      <c r="G284" s="293"/>
      <c r="H284" s="293"/>
      <c r="I284" s="293"/>
      <c r="J284" s="25"/>
    </row>
    <row r="285" spans="1:10" x14ac:dyDescent="0.2">
      <c r="A285" s="1" t="s">
        <v>1813</v>
      </c>
      <c r="B285" s="1" t="s">
        <v>1814</v>
      </c>
      <c r="F285" s="24" t="s">
        <v>1823</v>
      </c>
      <c r="G285" s="293"/>
      <c r="H285" s="293"/>
      <c r="I285" s="293"/>
      <c r="J285" s="25"/>
    </row>
    <row r="286" spans="1:10" x14ac:dyDescent="0.2">
      <c r="A286" s="1" t="s">
        <v>1815</v>
      </c>
      <c r="B286" s="1" t="s">
        <v>1816</v>
      </c>
      <c r="F286" s="24" t="s">
        <v>1824</v>
      </c>
      <c r="G286" s="293"/>
      <c r="H286" s="293"/>
      <c r="I286" s="293"/>
      <c r="J286" s="25"/>
    </row>
    <row r="287" spans="1:10" ht="17" thickBot="1" x14ac:dyDescent="0.25">
      <c r="F287" s="127" t="s">
        <v>1825</v>
      </c>
      <c r="G287" s="27"/>
      <c r="H287" s="27"/>
      <c r="I287" s="27"/>
      <c r="J287" s="28"/>
    </row>
    <row r="290" spans="1:9" x14ac:dyDescent="0.2">
      <c r="A290" s="77" t="s">
        <v>1826</v>
      </c>
      <c r="B290" s="82"/>
      <c r="C290" s="82"/>
      <c r="D290" s="82"/>
      <c r="E290" s="82"/>
      <c r="F290" s="82"/>
      <c r="G290" s="82"/>
      <c r="H290" s="82"/>
    </row>
    <row r="291" spans="1:9" x14ac:dyDescent="0.2">
      <c r="I291" s="1" t="s">
        <v>1835</v>
      </c>
    </row>
    <row r="292" spans="1:9" x14ac:dyDescent="0.2">
      <c r="A292" s="1" t="s">
        <v>1827</v>
      </c>
      <c r="I292" s="1" t="s">
        <v>1836</v>
      </c>
    </row>
    <row r="293" spans="1:9" x14ac:dyDescent="0.2">
      <c r="A293" s="1" t="s">
        <v>1828</v>
      </c>
      <c r="I293" s="1" t="s">
        <v>1837</v>
      </c>
    </row>
    <row r="294" spans="1:9" x14ac:dyDescent="0.2">
      <c r="A294" s="1" t="s">
        <v>1829</v>
      </c>
      <c r="I294" s="1" t="s">
        <v>1838</v>
      </c>
    </row>
    <row r="295" spans="1:9" x14ac:dyDescent="0.2">
      <c r="A295" s="1" t="s">
        <v>1830</v>
      </c>
      <c r="I295" s="1" t="s">
        <v>1839</v>
      </c>
    </row>
    <row r="296" spans="1:9" x14ac:dyDescent="0.2">
      <c r="D296" s="1" t="s">
        <v>1845</v>
      </c>
      <c r="E296" s="1" t="s">
        <v>1846</v>
      </c>
      <c r="I296" s="1" t="s">
        <v>1841</v>
      </c>
    </row>
    <row r="297" spans="1:9" x14ac:dyDescent="0.2">
      <c r="D297" s="12">
        <v>25</v>
      </c>
      <c r="E297" s="12">
        <v>24</v>
      </c>
      <c r="G297" s="12">
        <v>0</v>
      </c>
      <c r="I297" s="1" t="s">
        <v>1842</v>
      </c>
    </row>
    <row r="298" spans="1:9" x14ac:dyDescent="0.2">
      <c r="A298" s="1" t="s">
        <v>382</v>
      </c>
      <c r="D298" s="12"/>
      <c r="G298" s="12"/>
      <c r="I298" s="1" t="s">
        <v>1843</v>
      </c>
    </row>
    <row r="299" spans="1:9" x14ac:dyDescent="0.2">
      <c r="D299" s="12"/>
      <c r="E299" s="29">
        <v>-219552.82440000001</v>
      </c>
      <c r="G299" s="294" t="s">
        <v>1852</v>
      </c>
      <c r="I299" s="1" t="s">
        <v>1844</v>
      </c>
    </row>
    <row r="300" spans="1:9" x14ac:dyDescent="0.2">
      <c r="C300" s="12" t="s">
        <v>1831</v>
      </c>
      <c r="D300" s="12"/>
      <c r="E300" s="1" t="s">
        <v>1847</v>
      </c>
    </row>
    <row r="301" spans="1:9" x14ac:dyDescent="0.2">
      <c r="C301" s="12" t="s">
        <v>386</v>
      </c>
      <c r="E301" s="1" t="s">
        <v>1649</v>
      </c>
      <c r="F301" s="1" t="s">
        <v>1848</v>
      </c>
      <c r="I301" s="2" t="s">
        <v>1853</v>
      </c>
    </row>
    <row r="302" spans="1:9" x14ac:dyDescent="0.2">
      <c r="C302" s="12" t="s">
        <v>1832</v>
      </c>
      <c r="F302" s="1" t="s">
        <v>386</v>
      </c>
      <c r="I302" s="2" t="s">
        <v>1854</v>
      </c>
    </row>
    <row r="303" spans="1:9" x14ac:dyDescent="0.2">
      <c r="C303" s="12" t="s">
        <v>1833</v>
      </c>
      <c r="F303" s="1" t="s">
        <v>1849</v>
      </c>
    </row>
    <row r="304" spans="1:9" x14ac:dyDescent="0.2">
      <c r="F304" s="1" t="s">
        <v>1850</v>
      </c>
    </row>
    <row r="306" spans="1:9" x14ac:dyDescent="0.2">
      <c r="D306" s="1" t="s">
        <v>1834</v>
      </c>
      <c r="F306" s="1" t="s">
        <v>1851</v>
      </c>
    </row>
    <row r="308" spans="1:9" x14ac:dyDescent="0.2">
      <c r="A308" s="1" t="s">
        <v>1855</v>
      </c>
    </row>
    <row r="309" spans="1:9" x14ac:dyDescent="0.2">
      <c r="A309" s="1" t="s">
        <v>1856</v>
      </c>
    </row>
    <row r="310" spans="1:9" x14ac:dyDescent="0.2">
      <c r="A310" s="1" t="s">
        <v>1857</v>
      </c>
    </row>
    <row r="312" spans="1:9" x14ac:dyDescent="0.2">
      <c r="D312" s="12" t="s">
        <v>609</v>
      </c>
      <c r="E312" s="12" t="s">
        <v>608</v>
      </c>
      <c r="I312" s="1" t="s">
        <v>1859</v>
      </c>
    </row>
    <row r="313" spans="1:9" x14ac:dyDescent="0.2">
      <c r="D313" s="12" t="s">
        <v>1864</v>
      </c>
      <c r="E313" s="12" t="s">
        <v>1858</v>
      </c>
      <c r="I313" s="1" t="s">
        <v>1860</v>
      </c>
    </row>
    <row r="314" spans="1:9" x14ac:dyDescent="0.2">
      <c r="D314" s="59" t="s">
        <v>1865</v>
      </c>
      <c r="E314" s="59" t="s">
        <v>1863</v>
      </c>
      <c r="F314" s="58" t="s">
        <v>177</v>
      </c>
      <c r="I314" s="1" t="s">
        <v>1862</v>
      </c>
    </row>
    <row r="315" spans="1:9" x14ac:dyDescent="0.2">
      <c r="D315" s="12" t="s">
        <v>179</v>
      </c>
      <c r="E315" s="12" t="s">
        <v>179</v>
      </c>
      <c r="F315" s="1" t="s">
        <v>178</v>
      </c>
      <c r="I315" s="1" t="s">
        <v>1861</v>
      </c>
    </row>
    <row r="316" spans="1:9" x14ac:dyDescent="0.2">
      <c r="D316" s="12">
        <v>24</v>
      </c>
      <c r="E316" s="12">
        <v>80</v>
      </c>
      <c r="F316" s="1" t="s">
        <v>45</v>
      </c>
    </row>
    <row r="317" spans="1:9" x14ac:dyDescent="0.2">
      <c r="D317" s="12">
        <v>1</v>
      </c>
      <c r="E317" s="12">
        <v>1</v>
      </c>
      <c r="F317" s="1" t="s">
        <v>42</v>
      </c>
    </row>
    <row r="318" spans="1:9" x14ac:dyDescent="0.2">
      <c r="C318" s="1" t="s">
        <v>813</v>
      </c>
      <c r="D318" s="294">
        <v>-172912</v>
      </c>
      <c r="E318" s="91">
        <v>-219552.82440000001</v>
      </c>
      <c r="F318" s="1" t="s">
        <v>39</v>
      </c>
      <c r="G318" s="1" t="s">
        <v>813</v>
      </c>
      <c r="I318" s="1" t="s">
        <v>1866</v>
      </c>
    </row>
    <row r="319" spans="1:9" x14ac:dyDescent="0.2">
      <c r="D319" s="12">
        <v>0</v>
      </c>
      <c r="E319" s="18">
        <v>4000</v>
      </c>
      <c r="F319" s="1" t="s">
        <v>47</v>
      </c>
      <c r="I319" s="1" t="s">
        <v>1867</v>
      </c>
    </row>
    <row r="320" spans="1:9" x14ac:dyDescent="0.2">
      <c r="D320" s="91">
        <f>-E318</f>
        <v>219552.82440000001</v>
      </c>
      <c r="E320" s="12">
        <v>0</v>
      </c>
      <c r="F320" s="1" t="s">
        <v>50</v>
      </c>
    </row>
    <row r="321" spans="1:10" x14ac:dyDescent="0.2">
      <c r="I321" s="2" t="s">
        <v>1868</v>
      </c>
    </row>
    <row r="323" spans="1:10" x14ac:dyDescent="0.2">
      <c r="A323" s="77" t="s">
        <v>1869</v>
      </c>
      <c r="B323" s="82"/>
      <c r="C323" s="82"/>
      <c r="D323" s="82"/>
      <c r="E323" s="82"/>
      <c r="F323" s="82"/>
      <c r="G323" s="82"/>
      <c r="H323" s="82"/>
    </row>
    <row r="324" spans="1:10" x14ac:dyDescent="0.2">
      <c r="A324" s="1" t="s">
        <v>1881</v>
      </c>
    </row>
    <row r="325" spans="1:10" x14ac:dyDescent="0.2">
      <c r="A325" s="1" t="s">
        <v>1870</v>
      </c>
    </row>
    <row r="327" spans="1:10" x14ac:dyDescent="0.2">
      <c r="A327" s="1" t="s">
        <v>1871</v>
      </c>
      <c r="F327" s="1" t="s">
        <v>1872</v>
      </c>
    </row>
    <row r="328" spans="1:10" x14ac:dyDescent="0.2">
      <c r="A328" s="117" t="s">
        <v>1885</v>
      </c>
      <c r="B328" s="117" t="s">
        <v>1873</v>
      </c>
      <c r="F328" s="117" t="s">
        <v>1885</v>
      </c>
      <c r="G328" s="117" t="s">
        <v>1873</v>
      </c>
      <c r="I328" s="1" t="s">
        <v>1890</v>
      </c>
    </row>
    <row r="329" spans="1:10" x14ac:dyDescent="0.2">
      <c r="A329" s="117" t="s">
        <v>1886</v>
      </c>
      <c r="B329" s="117" t="s">
        <v>1874</v>
      </c>
      <c r="F329" s="117" t="s">
        <v>1886</v>
      </c>
      <c r="G329" s="117" t="s">
        <v>1874</v>
      </c>
      <c r="I329" s="1" t="s">
        <v>1891</v>
      </c>
    </row>
    <row r="330" spans="1:10" x14ac:dyDescent="0.2">
      <c r="A330" s="117" t="s">
        <v>1887</v>
      </c>
      <c r="B330" s="117" t="s">
        <v>1875</v>
      </c>
      <c r="F330" s="117" t="s">
        <v>1887</v>
      </c>
      <c r="G330" s="117" t="s">
        <v>1875</v>
      </c>
      <c r="I330" s="1">
        <v>14</v>
      </c>
      <c r="J330" s="1" t="s">
        <v>1892</v>
      </c>
    </row>
    <row r="331" spans="1:10" x14ac:dyDescent="0.2">
      <c r="A331" s="117" t="s">
        <v>1888</v>
      </c>
      <c r="B331" s="117" t="s">
        <v>1840</v>
      </c>
      <c r="F331" s="117" t="s">
        <v>1888</v>
      </c>
      <c r="G331" s="117" t="s">
        <v>1840</v>
      </c>
      <c r="I331" s="2" t="s">
        <v>1893</v>
      </c>
    </row>
    <row r="332" spans="1:10" x14ac:dyDescent="0.2">
      <c r="A332" s="113">
        <v>0</v>
      </c>
      <c r="B332" s="113" t="s">
        <v>1876</v>
      </c>
      <c r="F332" s="113">
        <v>0</v>
      </c>
      <c r="G332" s="113" t="s">
        <v>1876</v>
      </c>
      <c r="I332" s="2" t="s">
        <v>1894</v>
      </c>
    </row>
    <row r="333" spans="1:10" x14ac:dyDescent="0.2">
      <c r="C333" s="1" t="s">
        <v>177</v>
      </c>
      <c r="H333" s="1" t="s">
        <v>177</v>
      </c>
      <c r="I333" s="2" t="s">
        <v>1895</v>
      </c>
    </row>
    <row r="334" spans="1:10" x14ac:dyDescent="0.2">
      <c r="A334" s="12" t="s">
        <v>179</v>
      </c>
      <c r="B334" s="12" t="s">
        <v>179</v>
      </c>
      <c r="C334" s="1" t="s">
        <v>178</v>
      </c>
      <c r="F334" s="12" t="s">
        <v>179</v>
      </c>
      <c r="G334" s="12" t="s">
        <v>179</v>
      </c>
      <c r="H334" s="1" t="s">
        <v>178</v>
      </c>
    </row>
    <row r="335" spans="1:10" ht="25" x14ac:dyDescent="0.2">
      <c r="A335" s="290" t="s">
        <v>1884</v>
      </c>
      <c r="B335" s="296" t="s">
        <v>1877</v>
      </c>
      <c r="C335" s="1" t="s">
        <v>45</v>
      </c>
      <c r="E335" s="1" t="s">
        <v>1896</v>
      </c>
      <c r="F335" s="12">
        <v>13</v>
      </c>
      <c r="G335" s="299">
        <f>5*4</f>
        <v>20</v>
      </c>
      <c r="H335" s="1" t="s">
        <v>45</v>
      </c>
    </row>
    <row r="336" spans="1:10" ht="25" x14ac:dyDescent="0.2">
      <c r="A336" s="12" t="s">
        <v>41</v>
      </c>
      <c r="B336" s="296" t="s">
        <v>1878</v>
      </c>
      <c r="C336" s="1" t="s">
        <v>42</v>
      </c>
      <c r="F336" s="12">
        <v>2</v>
      </c>
      <c r="G336" s="74">
        <v>2</v>
      </c>
      <c r="H336" s="1" t="s">
        <v>42</v>
      </c>
    </row>
    <row r="337" spans="1:8" x14ac:dyDescent="0.2">
      <c r="A337" s="82" t="s">
        <v>1889</v>
      </c>
      <c r="B337" s="297" t="s">
        <v>51</v>
      </c>
      <c r="C337" s="1" t="s">
        <v>39</v>
      </c>
      <c r="F337" s="301">
        <v>-12639</v>
      </c>
      <c r="G337" s="300">
        <v>-16351.433000000001</v>
      </c>
      <c r="H337" s="1" t="s">
        <v>39</v>
      </c>
    </row>
    <row r="338" spans="1:8" x14ac:dyDescent="0.2">
      <c r="A338" s="12" t="s">
        <v>1883</v>
      </c>
      <c r="B338" s="295" t="s">
        <v>1879</v>
      </c>
      <c r="C338" s="1" t="s">
        <v>47</v>
      </c>
      <c r="F338" s="12">
        <v>0</v>
      </c>
      <c r="G338" s="184">
        <v>1000</v>
      </c>
      <c r="H338" s="1" t="s">
        <v>47</v>
      </c>
    </row>
    <row r="339" spans="1:8" x14ac:dyDescent="0.2">
      <c r="A339" s="298" t="s">
        <v>1882</v>
      </c>
      <c r="B339" s="295" t="s">
        <v>1880</v>
      </c>
      <c r="C339" s="1" t="s">
        <v>50</v>
      </c>
      <c r="F339" s="294">
        <f>-G337</f>
        <v>16351.433000000001</v>
      </c>
      <c r="G339" s="12">
        <v>0</v>
      </c>
      <c r="H339" s="1" t="s">
        <v>50</v>
      </c>
    </row>
    <row r="341" spans="1:8" x14ac:dyDescent="0.2">
      <c r="F341" s="2" t="s">
        <v>1896</v>
      </c>
    </row>
    <row r="347" spans="1:8" x14ac:dyDescent="0.2">
      <c r="A347" s="82" t="s">
        <v>1797</v>
      </c>
      <c r="B347" s="82"/>
      <c r="C347" s="82"/>
      <c r="D347" s="82"/>
      <c r="E347" s="82"/>
      <c r="F347" s="82" t="s">
        <v>1756</v>
      </c>
      <c r="G347" s="82"/>
      <c r="H347" s="82"/>
    </row>
    <row r="348" spans="1:8" x14ac:dyDescent="0.2">
      <c r="A348" s="1" t="s">
        <v>562</v>
      </c>
    </row>
    <row r="349" spans="1:8" x14ac:dyDescent="0.2">
      <c r="A349" s="1" t="s">
        <v>563</v>
      </c>
    </row>
    <row r="350" spans="1:8" x14ac:dyDescent="0.2">
      <c r="A350" s="1" t="s">
        <v>564</v>
      </c>
    </row>
    <row r="351" spans="1:8" x14ac:dyDescent="0.2">
      <c r="A351" s="1" t="s">
        <v>565</v>
      </c>
    </row>
    <row r="352" spans="1:8" x14ac:dyDescent="0.2">
      <c r="A352" s="1" t="s">
        <v>566</v>
      </c>
    </row>
    <row r="353" spans="1:5" x14ac:dyDescent="0.2">
      <c r="A353" s="1" t="s">
        <v>567</v>
      </c>
    </row>
    <row r="354" spans="1:5" x14ac:dyDescent="0.2">
      <c r="A354" s="1" t="s">
        <v>568</v>
      </c>
    </row>
    <row r="355" spans="1:5" x14ac:dyDescent="0.2">
      <c r="A355" s="1" t="s">
        <v>569</v>
      </c>
    </row>
    <row r="357" spans="1:5" x14ac:dyDescent="0.2">
      <c r="A357" s="1" t="s">
        <v>570</v>
      </c>
    </row>
    <row r="358" spans="1:5" x14ac:dyDescent="0.2">
      <c r="A358" s="1" t="s">
        <v>571</v>
      </c>
    </row>
    <row r="361" spans="1:5" x14ac:dyDescent="0.2">
      <c r="A361" s="1" t="s">
        <v>572</v>
      </c>
      <c r="C361" s="12">
        <f>((1+8%)^(1/12)-1)*100</f>
        <v>0.64340301100034303</v>
      </c>
      <c r="D361" s="1" t="s">
        <v>42</v>
      </c>
    </row>
    <row r="362" spans="1:5" x14ac:dyDescent="0.2">
      <c r="A362" s="1" t="s">
        <v>573</v>
      </c>
      <c r="C362" s="12">
        <f>8*12</f>
        <v>96</v>
      </c>
      <c r="D362" s="1" t="s">
        <v>45</v>
      </c>
    </row>
    <row r="363" spans="1:5" x14ac:dyDescent="0.2">
      <c r="A363" s="1" t="s">
        <v>577</v>
      </c>
      <c r="C363" s="80">
        <f>PV(C361/100,C362,C364,C365)</f>
        <v>214359.16881236585</v>
      </c>
      <c r="D363" s="1" t="s">
        <v>39</v>
      </c>
      <c r="E363" s="1" t="s">
        <v>578</v>
      </c>
    </row>
    <row r="364" spans="1:5" x14ac:dyDescent="0.2">
      <c r="A364" s="1" t="s">
        <v>574</v>
      </c>
      <c r="C364" s="12">
        <v>-3000</v>
      </c>
      <c r="D364" s="1" t="s">
        <v>47</v>
      </c>
      <c r="E364" s="1" t="s">
        <v>575</v>
      </c>
    </row>
    <row r="365" spans="1:5" x14ac:dyDescent="0.2">
      <c r="A365" s="1" t="s">
        <v>576</v>
      </c>
      <c r="C365" s="12">
        <v>0</v>
      </c>
      <c r="D365" s="1" t="s">
        <v>50</v>
      </c>
    </row>
    <row r="367" spans="1:5" x14ac:dyDescent="0.2">
      <c r="A367" s="1" t="s">
        <v>579</v>
      </c>
    </row>
  </sheetData>
  <mergeCells count="2">
    <mergeCell ref="H174:H177"/>
    <mergeCell ref="H201:H20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298F5-5091-3B42-ACD3-94CFE25BD0A8}">
  <dimension ref="A1:J177"/>
  <sheetViews>
    <sheetView rightToLeft="1" topLeftCell="A172" zoomScale="267" workbookViewId="0">
      <selection activeCell="B19" sqref="B19"/>
    </sheetView>
  </sheetViews>
  <sheetFormatPr baseColWidth="10" defaultRowHeight="16" x14ac:dyDescent="0.2"/>
  <cols>
    <col min="1" max="2" width="10.83203125" style="1"/>
    <col min="3" max="3" width="12.33203125" style="1" bestFit="1" customWidth="1"/>
    <col min="4" max="16384" width="10.83203125" style="1"/>
  </cols>
  <sheetData>
    <row r="1" spans="1:8" x14ac:dyDescent="0.2">
      <c r="A1" s="1" t="s">
        <v>580</v>
      </c>
      <c r="H1" s="87">
        <v>45627</v>
      </c>
    </row>
    <row r="3" spans="1:8" x14ac:dyDescent="0.2">
      <c r="A3" s="89" t="s">
        <v>581</v>
      </c>
      <c r="B3" s="88"/>
      <c r="C3" s="88"/>
      <c r="D3" s="88"/>
      <c r="E3" s="88"/>
      <c r="F3" s="88"/>
      <c r="G3" s="88"/>
      <c r="H3" s="88"/>
    </row>
    <row r="4" spans="1:8" x14ac:dyDescent="0.2">
      <c r="A4" s="1" t="s">
        <v>582</v>
      </c>
    </row>
    <row r="5" spans="1:8" x14ac:dyDescent="0.2">
      <c r="A5" s="1" t="s">
        <v>583</v>
      </c>
    </row>
    <row r="6" spans="1:8" x14ac:dyDescent="0.2">
      <c r="A6" s="1" t="s">
        <v>584</v>
      </c>
    </row>
    <row r="8" spans="1:8" x14ac:dyDescent="0.2">
      <c r="A8" s="1" t="s">
        <v>585</v>
      </c>
    </row>
    <row r="9" spans="1:8" x14ac:dyDescent="0.2">
      <c r="A9" s="1" t="s">
        <v>586</v>
      </c>
    </row>
    <row r="10" spans="1:8" x14ac:dyDescent="0.2">
      <c r="A10" s="1" t="s">
        <v>587</v>
      </c>
    </row>
    <row r="11" spans="1:8" x14ac:dyDescent="0.2">
      <c r="A11" s="1" t="s">
        <v>588</v>
      </c>
    </row>
    <row r="13" spans="1:8" x14ac:dyDescent="0.2">
      <c r="A13" s="90" t="s">
        <v>589</v>
      </c>
      <c r="B13" s="90"/>
      <c r="C13" s="90"/>
      <c r="D13" s="90"/>
      <c r="E13" s="90"/>
      <c r="F13" s="90"/>
      <c r="G13" s="90"/>
      <c r="H13" s="90"/>
    </row>
    <row r="14" spans="1:8" x14ac:dyDescent="0.2">
      <c r="A14" s="1" t="s">
        <v>590</v>
      </c>
    </row>
    <row r="15" spans="1:8" x14ac:dyDescent="0.2">
      <c r="A15" s="1" t="s">
        <v>591</v>
      </c>
    </row>
    <row r="16" spans="1:8" x14ac:dyDescent="0.2">
      <c r="A16" s="1" t="s">
        <v>592</v>
      </c>
    </row>
    <row r="18" spans="1:7" x14ac:dyDescent="0.2">
      <c r="A18" s="1" t="s">
        <v>27</v>
      </c>
    </row>
    <row r="20" spans="1:7" x14ac:dyDescent="0.2">
      <c r="A20" s="1" t="s">
        <v>593</v>
      </c>
    </row>
    <row r="21" spans="1:7" x14ac:dyDescent="0.2">
      <c r="A21" s="1" t="s">
        <v>594</v>
      </c>
    </row>
    <row r="25" spans="1:7" x14ac:dyDescent="0.2">
      <c r="B25" s="12">
        <v>10</v>
      </c>
      <c r="C25" s="12" t="s">
        <v>596</v>
      </c>
      <c r="D25" s="12">
        <v>3</v>
      </c>
      <c r="E25" s="12">
        <v>2</v>
      </c>
      <c r="F25" s="12">
        <v>1</v>
      </c>
      <c r="G25" s="12">
        <v>0</v>
      </c>
    </row>
    <row r="26" spans="1:7" x14ac:dyDescent="0.2">
      <c r="A26" s="1" t="s">
        <v>595</v>
      </c>
    </row>
    <row r="27" spans="1:7" x14ac:dyDescent="0.2">
      <c r="B27" s="18">
        <v>5000</v>
      </c>
      <c r="C27" s="18" t="s">
        <v>596</v>
      </c>
      <c r="D27" s="18">
        <v>5000</v>
      </c>
      <c r="E27" s="18">
        <v>5000</v>
      </c>
      <c r="F27" s="18">
        <v>5000</v>
      </c>
      <c r="G27" s="91" t="s">
        <v>597</v>
      </c>
    </row>
    <row r="28" spans="1:7" x14ac:dyDescent="0.2">
      <c r="B28" s="18">
        <v>40000</v>
      </c>
      <c r="C28" s="18"/>
      <c r="D28" s="18"/>
      <c r="E28" s="18"/>
      <c r="F28" s="18"/>
    </row>
    <row r="37" spans="1:8" x14ac:dyDescent="0.2">
      <c r="F37" s="1" t="s">
        <v>177</v>
      </c>
    </row>
    <row r="38" spans="1:8" x14ac:dyDescent="0.2">
      <c r="E38" s="12" t="s">
        <v>179</v>
      </c>
      <c r="F38" s="1" t="s">
        <v>178</v>
      </c>
    </row>
    <row r="39" spans="1:8" x14ac:dyDescent="0.2">
      <c r="E39" s="12">
        <v>4</v>
      </c>
      <c r="F39" s="1" t="s">
        <v>42</v>
      </c>
    </row>
    <row r="40" spans="1:8" x14ac:dyDescent="0.2">
      <c r="E40" s="12">
        <v>10</v>
      </c>
      <c r="F40" s="1" t="s">
        <v>45</v>
      </c>
    </row>
    <row r="41" spans="1:8" x14ac:dyDescent="0.2">
      <c r="E41" s="42">
        <f>PV(E39/100,E40,E42,E43)</f>
        <v>-67577.045649807129</v>
      </c>
      <c r="F41" s="1" t="s">
        <v>39</v>
      </c>
      <c r="G41" s="92" t="s">
        <v>51</v>
      </c>
    </row>
    <row r="42" spans="1:8" x14ac:dyDescent="0.2">
      <c r="E42" s="12">
        <v>5000</v>
      </c>
      <c r="F42" s="1" t="s">
        <v>47</v>
      </c>
    </row>
    <row r="43" spans="1:8" x14ac:dyDescent="0.2">
      <c r="E43" s="12">
        <v>40000</v>
      </c>
      <c r="F43" s="1" t="s">
        <v>50</v>
      </c>
    </row>
    <row r="45" spans="1:8" x14ac:dyDescent="0.2">
      <c r="A45" s="90" t="s">
        <v>598</v>
      </c>
      <c r="B45" s="90"/>
      <c r="C45" s="90"/>
      <c r="D45" s="90"/>
      <c r="E45" s="90"/>
      <c r="F45" s="90"/>
      <c r="G45" s="90"/>
      <c r="H45" s="90"/>
    </row>
    <row r="46" spans="1:8" x14ac:dyDescent="0.2">
      <c r="A46" s="1" t="s">
        <v>599</v>
      </c>
    </row>
    <row r="47" spans="1:8" x14ac:dyDescent="0.2">
      <c r="A47" s="1" t="s">
        <v>600</v>
      </c>
    </row>
    <row r="48" spans="1:8" x14ac:dyDescent="0.2">
      <c r="A48" s="1" t="s">
        <v>601</v>
      </c>
    </row>
    <row r="49" spans="1:8" x14ac:dyDescent="0.2">
      <c r="A49" s="1" t="s">
        <v>602</v>
      </c>
    </row>
    <row r="51" spans="1:8" x14ac:dyDescent="0.2">
      <c r="A51" s="1" t="s">
        <v>27</v>
      </c>
    </row>
    <row r="52" spans="1:8" x14ac:dyDescent="0.2">
      <c r="A52" s="1" t="s">
        <v>606</v>
      </c>
    </row>
    <row r="53" spans="1:8" x14ac:dyDescent="0.2">
      <c r="A53" s="1" t="s">
        <v>607</v>
      </c>
    </row>
    <row r="55" spans="1:8" x14ac:dyDescent="0.2">
      <c r="B55" s="12" t="s">
        <v>603</v>
      </c>
      <c r="C55" s="12"/>
      <c r="D55" s="12"/>
      <c r="E55" s="12" t="s">
        <v>605</v>
      </c>
      <c r="F55" s="12"/>
      <c r="G55" s="12"/>
    </row>
    <row r="56" spans="1:8" x14ac:dyDescent="0.2">
      <c r="B56" s="12" t="s">
        <v>604</v>
      </c>
      <c r="C56" s="12"/>
      <c r="D56" s="12"/>
      <c r="E56" s="12" t="s">
        <v>604</v>
      </c>
      <c r="F56" s="12"/>
      <c r="G56" s="12"/>
    </row>
    <row r="57" spans="1:8" x14ac:dyDescent="0.2">
      <c r="B57" s="12">
        <f>17*12</f>
        <v>204</v>
      </c>
      <c r="C57" s="12"/>
      <c r="D57" s="12"/>
      <c r="E57" s="12">
        <f>7*12</f>
        <v>84</v>
      </c>
      <c r="F57" s="12"/>
      <c r="G57" s="12">
        <v>1</v>
      </c>
      <c r="H57" s="12">
        <v>0</v>
      </c>
    </row>
    <row r="58" spans="1:8" x14ac:dyDescent="0.2">
      <c r="A58" s="1" t="s">
        <v>382</v>
      </c>
    </row>
    <row r="66" spans="1:8" x14ac:dyDescent="0.2">
      <c r="B66" s="1" t="s">
        <v>610</v>
      </c>
    </row>
    <row r="67" spans="1:8" x14ac:dyDescent="0.2">
      <c r="B67" s="1" t="s">
        <v>611</v>
      </c>
      <c r="E67" s="59" t="s">
        <v>609</v>
      </c>
      <c r="F67" s="59" t="s">
        <v>608</v>
      </c>
      <c r="G67" s="59" t="s">
        <v>177</v>
      </c>
      <c r="H67" s="12"/>
    </row>
    <row r="68" spans="1:8" x14ac:dyDescent="0.2">
      <c r="B68" s="1" t="s">
        <v>612</v>
      </c>
      <c r="E68" s="12" t="s">
        <v>179</v>
      </c>
      <c r="F68" s="12" t="s">
        <v>179</v>
      </c>
      <c r="G68" s="12" t="s">
        <v>178</v>
      </c>
    </row>
    <row r="69" spans="1:8" x14ac:dyDescent="0.2">
      <c r="B69" s="1" t="s">
        <v>613</v>
      </c>
      <c r="E69" s="12">
        <v>0.4</v>
      </c>
      <c r="F69" s="12">
        <v>0.4</v>
      </c>
      <c r="G69" s="12" t="s">
        <v>42</v>
      </c>
    </row>
    <row r="70" spans="1:8" x14ac:dyDescent="0.2">
      <c r="B70" s="1" t="s">
        <v>614</v>
      </c>
      <c r="E70" s="12">
        <v>84</v>
      </c>
      <c r="F70" s="12">
        <v>120</v>
      </c>
      <c r="G70" s="12" t="s">
        <v>45</v>
      </c>
    </row>
    <row r="71" spans="1:8" x14ac:dyDescent="0.2">
      <c r="B71" s="1" t="s">
        <v>615</v>
      </c>
      <c r="E71" s="93">
        <f>PV(E69/100,E70,E72,E73)</f>
        <v>-2229243.9042470139</v>
      </c>
      <c r="F71" s="42">
        <f>PV(F69/100,F70,F72,F73)</f>
        <v>-2619376.1282256576</v>
      </c>
      <c r="G71" s="12" t="s">
        <v>39</v>
      </c>
      <c r="H71" s="92" t="s">
        <v>51</v>
      </c>
    </row>
    <row r="72" spans="1:8" x14ac:dyDescent="0.2">
      <c r="B72" s="1" t="s">
        <v>616</v>
      </c>
      <c r="E72" s="12">
        <v>5000</v>
      </c>
      <c r="F72" s="12">
        <v>8000</v>
      </c>
      <c r="G72" s="12" t="s">
        <v>47</v>
      </c>
    </row>
    <row r="73" spans="1:8" x14ac:dyDescent="0.2">
      <c r="B73" s="1" t="s">
        <v>617</v>
      </c>
      <c r="E73" s="42">
        <f>-F71</f>
        <v>2619376.1282256576</v>
      </c>
      <c r="F73" s="12">
        <v>3000000</v>
      </c>
      <c r="G73" s="12" t="s">
        <v>50</v>
      </c>
    </row>
    <row r="80" spans="1:8" x14ac:dyDescent="0.2">
      <c r="A80" s="90" t="s">
        <v>618</v>
      </c>
      <c r="B80" s="90"/>
      <c r="C80" s="90"/>
      <c r="D80" s="90"/>
      <c r="E80" s="90"/>
      <c r="F80" s="90"/>
      <c r="G80" s="90"/>
      <c r="H80" s="90"/>
    </row>
    <row r="81" spans="1:10" x14ac:dyDescent="0.2">
      <c r="A81" s="1" t="s">
        <v>619</v>
      </c>
    </row>
    <row r="82" spans="1:10" x14ac:dyDescent="0.2">
      <c r="A82" s="1" t="s">
        <v>620</v>
      </c>
    </row>
    <row r="83" spans="1:10" x14ac:dyDescent="0.2">
      <c r="A83" s="1" t="s">
        <v>621</v>
      </c>
    </row>
    <row r="84" spans="1:10" x14ac:dyDescent="0.2">
      <c r="A84" s="1" t="s">
        <v>622</v>
      </c>
    </row>
    <row r="85" spans="1:10" x14ac:dyDescent="0.2">
      <c r="A85" s="1" t="s">
        <v>623</v>
      </c>
    </row>
    <row r="86" spans="1:10" x14ac:dyDescent="0.2">
      <c r="A86" s="1" t="s">
        <v>624</v>
      </c>
    </row>
    <row r="87" spans="1:10" x14ac:dyDescent="0.2">
      <c r="A87" s="1" t="s">
        <v>625</v>
      </c>
    </row>
    <row r="89" spans="1:10" x14ac:dyDescent="0.2">
      <c r="A89" s="1" t="s">
        <v>628</v>
      </c>
    </row>
    <row r="90" spans="1:10" x14ac:dyDescent="0.2">
      <c r="I90" s="1" t="s">
        <v>631</v>
      </c>
    </row>
    <row r="91" spans="1:10" x14ac:dyDescent="0.2">
      <c r="A91" s="1" t="s">
        <v>638</v>
      </c>
      <c r="C91" s="1" t="s">
        <v>635</v>
      </c>
      <c r="E91" s="1" t="s">
        <v>634</v>
      </c>
      <c r="G91" s="1" t="s">
        <v>632</v>
      </c>
    </row>
    <row r="94" spans="1:10" x14ac:dyDescent="0.2">
      <c r="A94" s="12" t="s">
        <v>626</v>
      </c>
      <c r="C94" s="1" t="s">
        <v>636</v>
      </c>
      <c r="E94" s="1" t="s">
        <v>626</v>
      </c>
      <c r="F94" s="12" t="s">
        <v>626</v>
      </c>
      <c r="H94" s="12" t="s">
        <v>626</v>
      </c>
    </row>
    <row r="95" spans="1:10" x14ac:dyDescent="0.2">
      <c r="A95" s="12" t="s">
        <v>627</v>
      </c>
      <c r="C95" s="1" t="s">
        <v>637</v>
      </c>
      <c r="E95" s="1" t="s">
        <v>633</v>
      </c>
      <c r="F95" s="12" t="s">
        <v>630</v>
      </c>
      <c r="H95" s="12" t="s">
        <v>629</v>
      </c>
      <c r="J95" s="12"/>
    </row>
    <row r="96" spans="1:10" x14ac:dyDescent="0.2">
      <c r="A96" s="12">
        <f>14*12</f>
        <v>168</v>
      </c>
      <c r="C96" s="1">
        <f>11*12</f>
        <v>132</v>
      </c>
      <c r="E96" s="1">
        <f>9*12</f>
        <v>108</v>
      </c>
      <c r="F96" s="12">
        <f>8*12</f>
        <v>96</v>
      </c>
      <c r="H96" s="12">
        <v>36</v>
      </c>
      <c r="J96" s="12">
        <v>0</v>
      </c>
    </row>
    <row r="97" spans="1:10" x14ac:dyDescent="0.2">
      <c r="A97" s="12"/>
      <c r="F97" s="12"/>
      <c r="H97" s="12"/>
      <c r="J97" s="12"/>
    </row>
    <row r="98" spans="1:10" x14ac:dyDescent="0.2">
      <c r="A98" s="18"/>
      <c r="F98" s="12"/>
      <c r="J98" s="12"/>
    </row>
    <row r="99" spans="1:10" x14ac:dyDescent="0.2">
      <c r="G99" s="12"/>
      <c r="J99" s="12"/>
    </row>
    <row r="100" spans="1:10" x14ac:dyDescent="0.2">
      <c r="G100" s="12"/>
      <c r="J100" s="12"/>
    </row>
    <row r="101" spans="1:10" x14ac:dyDescent="0.2">
      <c r="G101" s="12"/>
      <c r="J101" s="12"/>
    </row>
    <row r="103" spans="1:10" x14ac:dyDescent="0.2">
      <c r="C103" s="59" t="s">
        <v>641</v>
      </c>
      <c r="D103" s="59" t="s">
        <v>640</v>
      </c>
      <c r="E103" s="59" t="s">
        <v>639</v>
      </c>
      <c r="F103" s="59" t="s">
        <v>609</v>
      </c>
      <c r="G103" s="59" t="s">
        <v>608</v>
      </c>
      <c r="H103" s="59" t="s">
        <v>177</v>
      </c>
      <c r="I103" s="12"/>
    </row>
    <row r="104" spans="1:10" x14ac:dyDescent="0.2">
      <c r="C104" s="12" t="s">
        <v>179</v>
      </c>
      <c r="D104" s="12" t="s">
        <v>179</v>
      </c>
      <c r="E104" s="12" t="s">
        <v>179</v>
      </c>
      <c r="F104" s="12" t="s">
        <v>179</v>
      </c>
      <c r="G104" s="12" t="s">
        <v>179</v>
      </c>
      <c r="H104" s="12" t="s">
        <v>178</v>
      </c>
    </row>
    <row r="105" spans="1:10" x14ac:dyDescent="0.2">
      <c r="C105" s="12">
        <v>1</v>
      </c>
      <c r="D105" s="12">
        <v>1</v>
      </c>
      <c r="E105" s="12">
        <v>1</v>
      </c>
      <c r="F105" s="12">
        <v>1</v>
      </c>
      <c r="G105" s="12">
        <v>1</v>
      </c>
      <c r="H105" s="12" t="s">
        <v>42</v>
      </c>
      <c r="I105" s="1" t="s">
        <v>137</v>
      </c>
    </row>
    <row r="106" spans="1:10" x14ac:dyDescent="0.2">
      <c r="C106" s="12">
        <v>36</v>
      </c>
      <c r="D106" s="12">
        <v>60</v>
      </c>
      <c r="E106" s="12">
        <v>12</v>
      </c>
      <c r="F106" s="12">
        <v>24</v>
      </c>
      <c r="G106" s="12">
        <f>3*12</f>
        <v>36</v>
      </c>
      <c r="H106" s="12" t="s">
        <v>45</v>
      </c>
      <c r="I106" s="1" t="s">
        <v>642</v>
      </c>
    </row>
    <row r="107" spans="1:10" x14ac:dyDescent="0.2">
      <c r="C107" s="94">
        <f t="shared" ref="C107:E107" si="0">PV(C105/100,C106,C108,C109)</f>
        <v>-2027343.5010258981</v>
      </c>
      <c r="D107" s="93">
        <f t="shared" si="0"/>
        <v>-2900659.7948851213</v>
      </c>
      <c r="E107" s="93">
        <f t="shared" si="0"/>
        <v>-2819528.9773331205</v>
      </c>
      <c r="F107" s="93">
        <f>PV(F105/100,F106,F108,F109)</f>
        <v>-3177115.8248413554</v>
      </c>
      <c r="G107" s="42">
        <f>PV(G105/100,G106,G108,G109)</f>
        <v>-3494624.7481362936</v>
      </c>
      <c r="H107" s="12" t="s">
        <v>39</v>
      </c>
      <c r="I107" s="92" t="s">
        <v>51</v>
      </c>
    </row>
    <row r="108" spans="1:10" x14ac:dyDescent="0.2">
      <c r="C108" s="12">
        <v>0</v>
      </c>
      <c r="D108" s="12">
        <v>30000</v>
      </c>
      <c r="E108" s="12">
        <v>0</v>
      </c>
      <c r="F108" s="12">
        <v>20000</v>
      </c>
      <c r="G108" s="12">
        <v>0</v>
      </c>
      <c r="H108" s="12" t="s">
        <v>47</v>
      </c>
    </row>
    <row r="109" spans="1:10" x14ac:dyDescent="0.2">
      <c r="C109" s="42">
        <f t="shared" ref="C109" si="1">-D107</f>
        <v>2900659.7948851213</v>
      </c>
      <c r="D109" s="42">
        <f t="shared" ref="D109:E109" si="2">-E107</f>
        <v>2819528.9773331205</v>
      </c>
      <c r="E109" s="42">
        <f t="shared" si="2"/>
        <v>3177115.8248413554</v>
      </c>
      <c r="F109" s="42">
        <f>-G107</f>
        <v>3494624.7481362936</v>
      </c>
      <c r="G109" s="12">
        <v>5000000</v>
      </c>
      <c r="H109" s="12" t="s">
        <v>50</v>
      </c>
    </row>
    <row r="112" spans="1:10" x14ac:dyDescent="0.2">
      <c r="D112" s="2" t="s">
        <v>643</v>
      </c>
    </row>
    <row r="118" spans="1:8" x14ac:dyDescent="0.2">
      <c r="A118" s="90" t="s">
        <v>644</v>
      </c>
      <c r="B118" s="90"/>
      <c r="C118" s="90"/>
      <c r="D118" s="90"/>
      <c r="E118" s="90"/>
      <c r="F118" s="90"/>
      <c r="G118" s="90"/>
      <c r="H118" s="90"/>
    </row>
    <row r="119" spans="1:8" x14ac:dyDescent="0.2">
      <c r="A119" s="1" t="s">
        <v>645</v>
      </c>
    </row>
    <row r="120" spans="1:8" x14ac:dyDescent="0.2">
      <c r="A120" s="1" t="s">
        <v>646</v>
      </c>
    </row>
    <row r="121" spans="1:8" x14ac:dyDescent="0.2">
      <c r="A121" s="1" t="s">
        <v>647</v>
      </c>
    </row>
    <row r="122" spans="1:8" x14ac:dyDescent="0.2">
      <c r="A122" s="1" t="s">
        <v>648</v>
      </c>
    </row>
    <row r="124" spans="1:8" x14ac:dyDescent="0.2">
      <c r="A124" s="12" t="s">
        <v>626</v>
      </c>
      <c r="C124" s="12" t="s">
        <v>636</v>
      </c>
    </row>
    <row r="125" spans="1:8" x14ac:dyDescent="0.2">
      <c r="A125" s="12" t="s">
        <v>650</v>
      </c>
      <c r="C125" s="12" t="s">
        <v>629</v>
      </c>
    </row>
    <row r="126" spans="1:8" x14ac:dyDescent="0.2">
      <c r="A126" s="12">
        <v>48</v>
      </c>
      <c r="C126" s="12">
        <v>36</v>
      </c>
      <c r="D126" s="1" t="s">
        <v>652</v>
      </c>
      <c r="E126" s="1" t="s">
        <v>651</v>
      </c>
      <c r="F126" s="1">
        <v>0</v>
      </c>
    </row>
    <row r="127" spans="1:8" x14ac:dyDescent="0.2">
      <c r="C127" s="12"/>
    </row>
    <row r="128" spans="1:8" x14ac:dyDescent="0.2">
      <c r="A128" s="18">
        <v>2000000</v>
      </c>
      <c r="C128" s="12"/>
    </row>
    <row r="129" spans="1:8" x14ac:dyDescent="0.2">
      <c r="C129" s="12"/>
      <c r="E129" s="12"/>
    </row>
    <row r="130" spans="1:8" x14ac:dyDescent="0.2">
      <c r="G130" s="1" t="s">
        <v>649</v>
      </c>
    </row>
    <row r="133" spans="1:8" x14ac:dyDescent="0.2">
      <c r="C133" s="59" t="s">
        <v>639</v>
      </c>
      <c r="D133" s="59" t="s">
        <v>609</v>
      </c>
      <c r="E133" s="59" t="s">
        <v>608</v>
      </c>
      <c r="F133" s="59" t="s">
        <v>177</v>
      </c>
      <c r="G133" s="12"/>
    </row>
    <row r="134" spans="1:8" x14ac:dyDescent="0.2">
      <c r="C134" s="12" t="s">
        <v>179</v>
      </c>
      <c r="D134" s="12" t="s">
        <v>179</v>
      </c>
      <c r="E134" s="12" t="s">
        <v>179</v>
      </c>
      <c r="F134" s="12" t="s">
        <v>178</v>
      </c>
    </row>
    <row r="135" spans="1:8" x14ac:dyDescent="0.2">
      <c r="C135" s="12">
        <v>1</v>
      </c>
      <c r="D135" s="12">
        <v>1</v>
      </c>
      <c r="E135" s="12">
        <v>1</v>
      </c>
      <c r="F135" s="12" t="s">
        <v>42</v>
      </c>
      <c r="G135" s="1" t="s">
        <v>137</v>
      </c>
    </row>
    <row r="136" spans="1:8" ht="17" thickBot="1" x14ac:dyDescent="0.25">
      <c r="C136" s="12">
        <v>12</v>
      </c>
      <c r="D136" s="12">
        <v>24</v>
      </c>
      <c r="E136" s="12">
        <v>12</v>
      </c>
      <c r="F136" s="12" t="s">
        <v>45</v>
      </c>
      <c r="G136" s="1" t="s">
        <v>642</v>
      </c>
    </row>
    <row r="137" spans="1:8" ht="17" thickBot="1" x14ac:dyDescent="0.25">
      <c r="C137" s="95">
        <f t="shared" ref="C137" si="3">PV(C135/100,C136,C138,C139)</f>
        <v>-1398655.68540707</v>
      </c>
      <c r="D137" s="93">
        <f>PV(D135/100,D136,D138,D139)</f>
        <v>-1525310.2228002846</v>
      </c>
      <c r="E137" s="42">
        <f>PV(E135/100,E136,E138,E139)</f>
        <v>-1774898.4505303074</v>
      </c>
      <c r="F137" s="12" t="s">
        <v>39</v>
      </c>
      <c r="G137" s="92" t="s">
        <v>51</v>
      </c>
    </row>
    <row r="138" spans="1:8" x14ac:dyDescent="0.2">
      <c r="C138" s="12">
        <v>4000</v>
      </c>
      <c r="D138" s="12">
        <v>6000</v>
      </c>
      <c r="E138" s="12">
        <v>0</v>
      </c>
      <c r="F138" s="12" t="s">
        <v>47</v>
      </c>
    </row>
    <row r="139" spans="1:8" x14ac:dyDescent="0.2">
      <c r="C139" s="42">
        <f t="shared" ref="C139" si="4">-D137</f>
        <v>1525310.2228002846</v>
      </c>
      <c r="D139" s="42">
        <f>-E137</f>
        <v>1774898.4505303074</v>
      </c>
      <c r="E139" s="12">
        <v>2000000</v>
      </c>
      <c r="F139" s="12" t="s">
        <v>50</v>
      </c>
    </row>
    <row r="142" spans="1:8" x14ac:dyDescent="0.2">
      <c r="A142" s="90" t="s">
        <v>653</v>
      </c>
      <c r="B142" s="90"/>
      <c r="C142" s="90"/>
      <c r="D142" s="90"/>
      <c r="E142" s="90"/>
      <c r="F142" s="90"/>
      <c r="G142" s="90"/>
      <c r="H142" s="90"/>
    </row>
    <row r="143" spans="1:8" x14ac:dyDescent="0.2">
      <c r="A143" s="1" t="s">
        <v>654</v>
      </c>
    </row>
    <row r="144" spans="1:8" x14ac:dyDescent="0.2">
      <c r="A144" s="1" t="s">
        <v>655</v>
      </c>
    </row>
    <row r="145" spans="1:8" x14ac:dyDescent="0.2">
      <c r="A145" s="1" t="s">
        <v>656</v>
      </c>
    </row>
    <row r="146" spans="1:8" x14ac:dyDescent="0.2">
      <c r="A146" s="1" t="s">
        <v>657</v>
      </c>
    </row>
    <row r="147" spans="1:8" x14ac:dyDescent="0.2">
      <c r="A147" s="1" t="s">
        <v>658</v>
      </c>
    </row>
    <row r="148" spans="1:8" x14ac:dyDescent="0.2">
      <c r="A148" s="1" t="s">
        <v>659</v>
      </c>
    </row>
    <row r="149" spans="1:8" x14ac:dyDescent="0.2">
      <c r="A149" s="1" t="s">
        <v>660</v>
      </c>
    </row>
    <row r="150" spans="1:8" x14ac:dyDescent="0.2">
      <c r="A150" s="1" t="s">
        <v>661</v>
      </c>
    </row>
    <row r="152" spans="1:8" x14ac:dyDescent="0.2">
      <c r="A152" s="1" t="s">
        <v>27</v>
      </c>
    </row>
    <row r="153" spans="1:8" x14ac:dyDescent="0.2">
      <c r="A153" s="1" t="s">
        <v>662</v>
      </c>
    </row>
    <row r="154" spans="1:8" x14ac:dyDescent="0.2">
      <c r="A154" s="1" t="s">
        <v>663</v>
      </c>
    </row>
    <row r="155" spans="1:8" x14ac:dyDescent="0.2">
      <c r="A155" s="1" t="s">
        <v>664</v>
      </c>
    </row>
    <row r="158" spans="1:8" x14ac:dyDescent="0.2">
      <c r="B158" s="12">
        <v>14</v>
      </c>
      <c r="C158" s="12" t="s">
        <v>673</v>
      </c>
      <c r="D158" s="12">
        <v>11</v>
      </c>
      <c r="E158" s="12">
        <v>8.25</v>
      </c>
      <c r="F158" s="12">
        <v>8</v>
      </c>
      <c r="G158" s="12">
        <v>1</v>
      </c>
      <c r="H158" s="12">
        <v>0</v>
      </c>
    </row>
    <row r="159" spans="1:8" x14ac:dyDescent="0.2">
      <c r="H159" s="12"/>
    </row>
    <row r="160" spans="1:8" x14ac:dyDescent="0.2">
      <c r="H160" s="12"/>
    </row>
    <row r="161" spans="1:8" x14ac:dyDescent="0.2">
      <c r="H161" s="12"/>
    </row>
    <row r="166" spans="1:8" x14ac:dyDescent="0.2">
      <c r="A166" s="1" t="s">
        <v>670</v>
      </c>
    </row>
    <row r="167" spans="1:8" x14ac:dyDescent="0.2">
      <c r="A167" s="1" t="s">
        <v>671</v>
      </c>
      <c r="E167" s="1" t="s">
        <v>667</v>
      </c>
      <c r="H167" s="1" t="s">
        <v>665</v>
      </c>
    </row>
    <row r="168" spans="1:8" x14ac:dyDescent="0.2">
      <c r="A168" s="1" t="s">
        <v>672</v>
      </c>
      <c r="E168" s="1" t="s">
        <v>668</v>
      </c>
      <c r="H168" s="1" t="s">
        <v>666</v>
      </c>
    </row>
    <row r="169" spans="1:8" x14ac:dyDescent="0.2">
      <c r="E169" s="1" t="s">
        <v>669</v>
      </c>
    </row>
    <row r="171" spans="1:8" x14ac:dyDescent="0.2">
      <c r="C171" s="59" t="s">
        <v>639</v>
      </c>
      <c r="D171" s="59" t="s">
        <v>609</v>
      </c>
      <c r="E171" s="59" t="s">
        <v>608</v>
      </c>
      <c r="F171" s="59" t="s">
        <v>177</v>
      </c>
      <c r="G171" s="12"/>
    </row>
    <row r="172" spans="1:8" x14ac:dyDescent="0.2">
      <c r="C172" s="12" t="s">
        <v>179</v>
      </c>
      <c r="D172" s="12" t="s">
        <v>179</v>
      </c>
      <c r="E172" s="12" t="s">
        <v>179</v>
      </c>
      <c r="F172" s="12" t="s">
        <v>178</v>
      </c>
    </row>
    <row r="173" spans="1:8" x14ac:dyDescent="0.2">
      <c r="C173" s="12">
        <v>5</v>
      </c>
      <c r="D173" s="12">
        <v>3.0301</v>
      </c>
      <c r="E173" s="12">
        <v>1</v>
      </c>
      <c r="F173" s="12" t="s">
        <v>42</v>
      </c>
    </row>
    <row r="174" spans="1:8" ht="17" thickBot="1" x14ac:dyDescent="0.25">
      <c r="C174" s="12">
        <v>16</v>
      </c>
      <c r="D174" s="12">
        <v>12</v>
      </c>
      <c r="E174" s="12">
        <v>36</v>
      </c>
      <c r="F174" s="12" t="s">
        <v>45</v>
      </c>
    </row>
    <row r="175" spans="1:8" ht="22" thickBot="1" x14ac:dyDescent="0.3">
      <c r="C175" s="96">
        <f t="shared" ref="C175" si="5">PV(C173/100,C174,C176,C177)</f>
        <v>-358137.62553924794</v>
      </c>
      <c r="D175" s="93">
        <f>PV(D173/100,D174,D176,D177)</f>
        <v>-308619.68658029538</v>
      </c>
      <c r="E175" s="42">
        <f>PV(E173/100,E174,E176,E177)</f>
        <v>-270967.54533546715</v>
      </c>
      <c r="F175" s="12" t="s">
        <v>39</v>
      </c>
      <c r="G175" s="92" t="s">
        <v>51</v>
      </c>
    </row>
    <row r="176" spans="1:8" x14ac:dyDescent="0.2">
      <c r="C176" s="12">
        <v>20000</v>
      </c>
      <c r="D176" s="12">
        <v>12000</v>
      </c>
      <c r="E176" s="12">
        <v>9000</v>
      </c>
      <c r="F176" s="12" t="s">
        <v>47</v>
      </c>
    </row>
    <row r="177" spans="3:6" x14ac:dyDescent="0.2">
      <c r="C177" s="42">
        <f t="shared" ref="C177" si="6">-D175</f>
        <v>308619.68658029538</v>
      </c>
      <c r="D177" s="42">
        <f>-E175</f>
        <v>270967.54533546715</v>
      </c>
      <c r="E177" s="12">
        <v>0</v>
      </c>
      <c r="F177" s="12" t="s">
        <v>50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B5D826-A206-DA4A-98ED-129BC4B6D8E8}">
  <dimension ref="A1:H239"/>
  <sheetViews>
    <sheetView rightToLeft="1" topLeftCell="A221" zoomScale="317" workbookViewId="0">
      <selection activeCell="B92" sqref="B92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1" t="s">
        <v>674</v>
      </c>
      <c r="H1" s="87">
        <v>45634</v>
      </c>
    </row>
    <row r="3" spans="1:8" x14ac:dyDescent="0.2">
      <c r="A3" s="29" t="s">
        <v>675</v>
      </c>
      <c r="B3" s="29"/>
      <c r="C3" s="29"/>
      <c r="D3" s="29"/>
      <c r="E3" s="29"/>
      <c r="F3" s="29"/>
      <c r="G3" s="29"/>
      <c r="H3" s="29"/>
    </row>
    <row r="4" spans="1:8" x14ac:dyDescent="0.2">
      <c r="A4" s="1" t="s">
        <v>676</v>
      </c>
    </row>
    <row r="5" spans="1:8" x14ac:dyDescent="0.2">
      <c r="A5" s="1" t="s">
        <v>677</v>
      </c>
    </row>
    <row r="7" spans="1:8" x14ac:dyDescent="0.2">
      <c r="A7" s="97" t="s">
        <v>678</v>
      </c>
      <c r="B7" s="97"/>
      <c r="C7" s="97"/>
      <c r="D7" s="97"/>
      <c r="E7" s="97"/>
      <c r="F7" s="97"/>
      <c r="G7" s="97"/>
      <c r="H7" s="97"/>
    </row>
    <row r="8" spans="1:8" x14ac:dyDescent="0.2">
      <c r="A8" s="1" t="s">
        <v>679</v>
      </c>
    </row>
    <row r="9" spans="1:8" x14ac:dyDescent="0.2">
      <c r="A9" s="1" t="s">
        <v>680</v>
      </c>
    </row>
    <row r="10" spans="1:8" x14ac:dyDescent="0.2">
      <c r="A10" s="1" t="s">
        <v>681</v>
      </c>
    </row>
    <row r="12" spans="1:8" x14ac:dyDescent="0.2">
      <c r="A12" s="1" t="s">
        <v>682</v>
      </c>
    </row>
    <row r="13" spans="1:8" x14ac:dyDescent="0.2">
      <c r="A13" s="1" t="s">
        <v>683</v>
      </c>
    </row>
    <row r="15" spans="1:8" x14ac:dyDescent="0.2">
      <c r="A15" s="1" t="s">
        <v>27</v>
      </c>
    </row>
    <row r="17" spans="1:8" x14ac:dyDescent="0.2">
      <c r="A17" s="78" t="s">
        <v>682</v>
      </c>
      <c r="F17" s="1" t="s">
        <v>692</v>
      </c>
    </row>
    <row r="18" spans="1:8" x14ac:dyDescent="0.2">
      <c r="A18" s="1" t="s">
        <v>684</v>
      </c>
    </row>
    <row r="19" spans="1:8" x14ac:dyDescent="0.2">
      <c r="A19" s="1" t="s">
        <v>685</v>
      </c>
    </row>
    <row r="20" spans="1:8" x14ac:dyDescent="0.2">
      <c r="A20" s="1" t="s">
        <v>686</v>
      </c>
    </row>
    <row r="23" spans="1:8" x14ac:dyDescent="0.2">
      <c r="C23" s="12">
        <v>36</v>
      </c>
      <c r="D23" s="12"/>
      <c r="E23" s="12"/>
      <c r="F23" s="12"/>
      <c r="G23" s="12">
        <v>1</v>
      </c>
      <c r="H23" s="12">
        <v>0</v>
      </c>
    </row>
    <row r="24" spans="1:8" x14ac:dyDescent="0.2">
      <c r="A24" s="1" t="s">
        <v>382</v>
      </c>
      <c r="H24" s="12"/>
    </row>
    <row r="25" spans="1:8" x14ac:dyDescent="0.2">
      <c r="H25" s="12" t="s">
        <v>687</v>
      </c>
    </row>
    <row r="26" spans="1:8" x14ac:dyDescent="0.2">
      <c r="H26" s="12" t="s">
        <v>688</v>
      </c>
    </row>
    <row r="31" spans="1:8" x14ac:dyDescent="0.2">
      <c r="E31" s="12" t="s">
        <v>179</v>
      </c>
      <c r="F31" s="1" t="s">
        <v>178</v>
      </c>
    </row>
    <row r="32" spans="1:8" x14ac:dyDescent="0.2">
      <c r="E32" s="12">
        <v>36</v>
      </c>
      <c r="F32" s="1" t="s">
        <v>45</v>
      </c>
    </row>
    <row r="33" spans="1:8" x14ac:dyDescent="0.2">
      <c r="E33" s="12">
        <v>1</v>
      </c>
      <c r="F33" s="1" t="s">
        <v>42</v>
      </c>
    </row>
    <row r="34" spans="1:8" x14ac:dyDescent="0.2">
      <c r="A34" s="1" t="s">
        <v>690</v>
      </c>
      <c r="E34" s="12">
        <v>300000</v>
      </c>
      <c r="F34" s="1" t="s">
        <v>39</v>
      </c>
    </row>
    <row r="35" spans="1:8" x14ac:dyDescent="0.2">
      <c r="A35" s="1" t="s">
        <v>691</v>
      </c>
      <c r="E35" s="42">
        <f>PMT(E33/100,E32,E34,E36)</f>
        <v>-9964.2929438553565</v>
      </c>
      <c r="F35" s="1" t="s">
        <v>47</v>
      </c>
      <c r="G35" s="1" t="s">
        <v>51</v>
      </c>
    </row>
    <row r="36" spans="1:8" x14ac:dyDescent="0.2">
      <c r="A36" s="1" t="s">
        <v>689</v>
      </c>
      <c r="E36" s="12">
        <v>0</v>
      </c>
      <c r="F36" s="1" t="s">
        <v>50</v>
      </c>
    </row>
    <row r="38" spans="1:8" x14ac:dyDescent="0.2">
      <c r="A38" s="78" t="s">
        <v>683</v>
      </c>
      <c r="G38" s="1" t="s">
        <v>699</v>
      </c>
    </row>
    <row r="39" spans="1:8" x14ac:dyDescent="0.2">
      <c r="A39" s="1" t="s">
        <v>693</v>
      </c>
    </row>
    <row r="41" spans="1:8" x14ac:dyDescent="0.2">
      <c r="C41" s="1" t="s">
        <v>695</v>
      </c>
      <c r="F41" s="98">
        <f>9964*36</f>
        <v>358704</v>
      </c>
      <c r="H41" s="1" t="s">
        <v>696</v>
      </c>
    </row>
    <row r="42" spans="1:8" x14ac:dyDescent="0.2">
      <c r="C42" s="1" t="s">
        <v>694</v>
      </c>
      <c r="F42" s="98">
        <f>E34</f>
        <v>300000</v>
      </c>
    </row>
    <row r="43" spans="1:8" x14ac:dyDescent="0.2">
      <c r="C43" s="1" t="s">
        <v>697</v>
      </c>
      <c r="F43" s="99">
        <f>F41-F42</f>
        <v>58704</v>
      </c>
      <c r="H43" s="1" t="s">
        <v>698</v>
      </c>
    </row>
    <row r="44" spans="1:8" ht="17" thickBot="1" x14ac:dyDescent="0.25"/>
    <row r="45" spans="1:8" x14ac:dyDescent="0.2">
      <c r="A45" s="30" t="s">
        <v>700</v>
      </c>
      <c r="B45" s="31"/>
      <c r="C45" s="31"/>
      <c r="D45" s="31"/>
      <c r="E45" s="31"/>
      <c r="F45" s="31"/>
      <c r="G45" s="31"/>
      <c r="H45" s="23"/>
    </row>
    <row r="46" spans="1:8" x14ac:dyDescent="0.2">
      <c r="A46" s="24" t="s">
        <v>701</v>
      </c>
      <c r="H46" s="25"/>
    </row>
    <row r="47" spans="1:8" ht="17" thickBot="1" x14ac:dyDescent="0.25">
      <c r="A47" s="26" t="s">
        <v>702</v>
      </c>
      <c r="B47" s="27"/>
      <c r="C47" s="27"/>
      <c r="D47" s="27"/>
      <c r="E47" s="27"/>
      <c r="F47" s="27"/>
      <c r="G47" s="27"/>
      <c r="H47" s="28"/>
    </row>
    <row r="49" spans="1:8" x14ac:dyDescent="0.2">
      <c r="A49" s="97" t="s">
        <v>703</v>
      </c>
      <c r="B49" s="97"/>
      <c r="C49" s="97"/>
      <c r="D49" s="97"/>
      <c r="E49" s="97"/>
      <c r="F49" s="97"/>
      <c r="G49" s="97"/>
      <c r="H49" s="97"/>
    </row>
    <row r="50" spans="1:8" x14ac:dyDescent="0.2">
      <c r="A50" s="1" t="s">
        <v>704</v>
      </c>
    </row>
    <row r="51" spans="1:8" x14ac:dyDescent="0.2">
      <c r="A51" s="1" t="s">
        <v>705</v>
      </c>
    </row>
    <row r="52" spans="1:8" x14ac:dyDescent="0.2">
      <c r="A52" s="1" t="s">
        <v>706</v>
      </c>
    </row>
    <row r="53" spans="1:8" x14ac:dyDescent="0.2">
      <c r="A53" s="1" t="s">
        <v>707</v>
      </c>
    </row>
    <row r="55" spans="1:8" x14ac:dyDescent="0.2">
      <c r="A55" s="1" t="s">
        <v>708</v>
      </c>
      <c r="E55" s="1" t="s">
        <v>713</v>
      </c>
      <c r="G55" s="1" t="s">
        <v>711</v>
      </c>
    </row>
    <row r="57" spans="1:8" x14ac:dyDescent="0.2">
      <c r="E57" s="12" t="s">
        <v>179</v>
      </c>
      <c r="F57" s="1" t="s">
        <v>178</v>
      </c>
    </row>
    <row r="58" spans="1:8" x14ac:dyDescent="0.2">
      <c r="A58" s="1" t="s">
        <v>709</v>
      </c>
      <c r="E58" s="12">
        <f>4*12</f>
        <v>48</v>
      </c>
      <c r="F58" s="1" t="s">
        <v>45</v>
      </c>
    </row>
    <row r="59" spans="1:8" x14ac:dyDescent="0.2">
      <c r="A59" s="1" t="s">
        <v>710</v>
      </c>
      <c r="E59" s="12">
        <v>1</v>
      </c>
      <c r="F59" s="1" t="s">
        <v>42</v>
      </c>
    </row>
    <row r="60" spans="1:8" x14ac:dyDescent="0.2">
      <c r="A60" s="1" t="s">
        <v>690</v>
      </c>
      <c r="E60" s="12">
        <v>1000000</v>
      </c>
      <c r="F60" s="1" t="s">
        <v>39</v>
      </c>
    </row>
    <row r="61" spans="1:8" x14ac:dyDescent="0.2">
      <c r="A61" s="1" t="s">
        <v>691</v>
      </c>
      <c r="E61" s="42">
        <f>PMT(E59/100,E58,E60,E62)</f>
        <v>-21433.684802349435</v>
      </c>
      <c r="F61" s="1" t="s">
        <v>47</v>
      </c>
      <c r="G61" s="1" t="s">
        <v>51</v>
      </c>
    </row>
    <row r="62" spans="1:8" x14ac:dyDescent="0.2">
      <c r="A62" s="1" t="s">
        <v>712</v>
      </c>
      <c r="E62" s="12">
        <v>-300000</v>
      </c>
      <c r="F62" s="1" t="s">
        <v>50</v>
      </c>
    </row>
    <row r="64" spans="1:8" x14ac:dyDescent="0.2">
      <c r="A64" s="97" t="s">
        <v>714</v>
      </c>
      <c r="B64" s="97"/>
      <c r="C64" s="97"/>
      <c r="D64" s="97"/>
      <c r="E64" s="97"/>
      <c r="F64" s="97"/>
      <c r="G64" s="97"/>
      <c r="H64" s="97"/>
    </row>
    <row r="65" spans="1:7" x14ac:dyDescent="0.2">
      <c r="A65" s="1" t="s">
        <v>715</v>
      </c>
    </row>
    <row r="66" spans="1:7" x14ac:dyDescent="0.2">
      <c r="A66" s="1" t="s">
        <v>716</v>
      </c>
    </row>
    <row r="67" spans="1:7" x14ac:dyDescent="0.2">
      <c r="A67" s="1" t="s">
        <v>717</v>
      </c>
    </row>
    <row r="68" spans="1:7" x14ac:dyDescent="0.2">
      <c r="A68" s="1" t="s">
        <v>718</v>
      </c>
    </row>
    <row r="70" spans="1:7" x14ac:dyDescent="0.2">
      <c r="A70" s="1" t="s">
        <v>719</v>
      </c>
    </row>
    <row r="71" spans="1:7" x14ac:dyDescent="0.2">
      <c r="A71" s="1" t="s">
        <v>720</v>
      </c>
    </row>
    <row r="72" spans="1:7" x14ac:dyDescent="0.2">
      <c r="A72" s="1" t="s">
        <v>721</v>
      </c>
    </row>
    <row r="74" spans="1:7" x14ac:dyDescent="0.2">
      <c r="A74" s="1" t="s">
        <v>27</v>
      </c>
    </row>
    <row r="76" spans="1:7" x14ac:dyDescent="0.2">
      <c r="A76" s="78" t="s">
        <v>720</v>
      </c>
      <c r="G76" s="1" t="s">
        <v>739</v>
      </c>
    </row>
    <row r="77" spans="1:7" x14ac:dyDescent="0.2">
      <c r="E77" s="12" t="s">
        <v>179</v>
      </c>
      <c r="F77" s="1" t="s">
        <v>178</v>
      </c>
    </row>
    <row r="78" spans="1:7" x14ac:dyDescent="0.2">
      <c r="E78" s="12">
        <f>3*12</f>
        <v>36</v>
      </c>
      <c r="F78" s="1" t="s">
        <v>45</v>
      </c>
    </row>
    <row r="79" spans="1:7" x14ac:dyDescent="0.2">
      <c r="E79" s="12">
        <v>0.94889999999999997</v>
      </c>
      <c r="F79" s="1" t="s">
        <v>42</v>
      </c>
    </row>
    <row r="80" spans="1:7" x14ac:dyDescent="0.2">
      <c r="E80" s="12">
        <v>30000</v>
      </c>
      <c r="F80" s="1" t="s">
        <v>39</v>
      </c>
    </row>
    <row r="81" spans="3:7" x14ac:dyDescent="0.2">
      <c r="E81" s="80">
        <f>PMT(E79/100,E78,E80,E82)</f>
        <v>-987.66585807718332</v>
      </c>
      <c r="F81" s="1" t="s">
        <v>47</v>
      </c>
      <c r="G81" s="1" t="s">
        <v>51</v>
      </c>
    </row>
    <row r="82" spans="3:7" x14ac:dyDescent="0.2">
      <c r="E82" s="12">
        <v>0</v>
      </c>
      <c r="F82" s="1" t="s">
        <v>50</v>
      </c>
    </row>
    <row r="85" spans="3:7" x14ac:dyDescent="0.2">
      <c r="D85" s="1" t="s">
        <v>722</v>
      </c>
    </row>
    <row r="86" spans="3:7" x14ac:dyDescent="0.2">
      <c r="D86" s="1" t="s">
        <v>723</v>
      </c>
    </row>
    <row r="87" spans="3:7" x14ac:dyDescent="0.2">
      <c r="D87" s="1" t="s">
        <v>724</v>
      </c>
    </row>
    <row r="88" spans="3:7" x14ac:dyDescent="0.2">
      <c r="D88" s="1" t="s">
        <v>725</v>
      </c>
    </row>
    <row r="89" spans="3:7" x14ac:dyDescent="0.2">
      <c r="D89" s="1" t="s">
        <v>726</v>
      </c>
    </row>
    <row r="90" spans="3:7" x14ac:dyDescent="0.2">
      <c r="D90" s="1" t="s">
        <v>727</v>
      </c>
    </row>
    <row r="91" spans="3:7" x14ac:dyDescent="0.2">
      <c r="D91" s="1" t="s">
        <v>728</v>
      </c>
    </row>
    <row r="95" spans="3:7" x14ac:dyDescent="0.2">
      <c r="F95" s="1" t="s">
        <v>729</v>
      </c>
    </row>
    <row r="96" spans="3:7" x14ac:dyDescent="0.2">
      <c r="C96" s="1" t="s">
        <v>732</v>
      </c>
      <c r="F96" s="1" t="s">
        <v>730</v>
      </c>
    </row>
    <row r="97" spans="1:7" x14ac:dyDescent="0.2">
      <c r="C97" s="1" t="s">
        <v>733</v>
      </c>
    </row>
    <row r="98" spans="1:7" x14ac:dyDescent="0.2">
      <c r="C98" s="1" t="s">
        <v>734</v>
      </c>
      <c r="E98" s="1" t="s">
        <v>731</v>
      </c>
    </row>
    <row r="99" spans="1:7" x14ac:dyDescent="0.2">
      <c r="C99" s="1" t="s">
        <v>735</v>
      </c>
    </row>
    <row r="101" spans="1:7" x14ac:dyDescent="0.2">
      <c r="A101" s="1" t="s">
        <v>736</v>
      </c>
    </row>
    <row r="103" spans="1:7" x14ac:dyDescent="0.2">
      <c r="D103" s="100">
        <f>(1+12%)^(1/12)-1</f>
        <v>9.4887929345830457E-3</v>
      </c>
    </row>
    <row r="105" spans="1:7" x14ac:dyDescent="0.2">
      <c r="A105" s="1" t="s">
        <v>512</v>
      </c>
      <c r="F105" s="1" t="s">
        <v>737</v>
      </c>
    </row>
    <row r="106" spans="1:7" x14ac:dyDescent="0.2">
      <c r="F106" s="1" t="s">
        <v>738</v>
      </c>
    </row>
    <row r="108" spans="1:7" x14ac:dyDescent="0.2">
      <c r="A108" s="78" t="s">
        <v>744</v>
      </c>
      <c r="G108" s="1" t="s">
        <v>746</v>
      </c>
    </row>
    <row r="109" spans="1:7" x14ac:dyDescent="0.2">
      <c r="E109" s="12" t="s">
        <v>179</v>
      </c>
      <c r="F109" s="1" t="s">
        <v>178</v>
      </c>
    </row>
    <row r="110" spans="1:7" x14ac:dyDescent="0.2">
      <c r="E110" s="12">
        <f>3*12</f>
        <v>36</v>
      </c>
      <c r="F110" s="1" t="s">
        <v>45</v>
      </c>
    </row>
    <row r="111" spans="1:7" x14ac:dyDescent="0.2">
      <c r="E111" s="12">
        <v>1</v>
      </c>
      <c r="F111" s="1" t="s">
        <v>42</v>
      </c>
    </row>
    <row r="112" spans="1:7" x14ac:dyDescent="0.2">
      <c r="E112" s="70">
        <v>30000</v>
      </c>
      <c r="F112" s="1" t="s">
        <v>39</v>
      </c>
    </row>
    <row r="113" spans="1:8" x14ac:dyDescent="0.2">
      <c r="E113" s="80">
        <f>PMT(E111/100,E110,E112,E114)</f>
        <v>-996.42929438553574</v>
      </c>
      <c r="F113" s="1" t="s">
        <v>47</v>
      </c>
      <c r="G113" s="1" t="s">
        <v>51</v>
      </c>
    </row>
    <row r="114" spans="1:8" x14ac:dyDescent="0.2">
      <c r="E114" s="12">
        <v>0</v>
      </c>
      <c r="F114" s="1" t="s">
        <v>50</v>
      </c>
    </row>
    <row r="117" spans="1:8" x14ac:dyDescent="0.2">
      <c r="D117" s="1" t="s">
        <v>740</v>
      </c>
    </row>
    <row r="118" spans="1:8" x14ac:dyDescent="0.2">
      <c r="D118" s="1" t="s">
        <v>745</v>
      </c>
    </row>
    <row r="119" spans="1:8" x14ac:dyDescent="0.2">
      <c r="D119" s="1" t="s">
        <v>741</v>
      </c>
    </row>
    <row r="120" spans="1:8" x14ac:dyDescent="0.2">
      <c r="D120" s="1" t="s">
        <v>742</v>
      </c>
    </row>
    <row r="121" spans="1:8" x14ac:dyDescent="0.2">
      <c r="F121" s="1" t="s">
        <v>743</v>
      </c>
    </row>
    <row r="123" spans="1:8" x14ac:dyDescent="0.2">
      <c r="A123" s="97" t="s">
        <v>747</v>
      </c>
      <c r="B123" s="97"/>
      <c r="C123" s="97"/>
      <c r="D123" s="97"/>
      <c r="E123" s="97"/>
      <c r="F123" s="97"/>
      <c r="G123" s="97"/>
      <c r="H123" s="97"/>
    </row>
    <row r="125" spans="1:8" x14ac:dyDescent="0.2">
      <c r="D125" s="1" t="s">
        <v>748</v>
      </c>
    </row>
    <row r="126" spans="1:8" x14ac:dyDescent="0.2">
      <c r="D126" s="1" t="s">
        <v>749</v>
      </c>
    </row>
    <row r="127" spans="1:8" x14ac:dyDescent="0.2">
      <c r="D127" s="1" t="s">
        <v>750</v>
      </c>
    </row>
    <row r="134" spans="4:7" x14ac:dyDescent="0.2">
      <c r="D134" s="1" t="s">
        <v>751</v>
      </c>
      <c r="G134" s="1" t="s">
        <v>177</v>
      </c>
    </row>
    <row r="135" spans="4:7" x14ac:dyDescent="0.2">
      <c r="F135" s="12" t="s">
        <v>179</v>
      </c>
      <c r="G135" s="1" t="s">
        <v>178</v>
      </c>
    </row>
    <row r="136" spans="4:7" x14ac:dyDescent="0.2">
      <c r="F136" s="12">
        <v>36</v>
      </c>
      <c r="G136" s="1" t="s">
        <v>45</v>
      </c>
    </row>
    <row r="137" spans="4:7" ht="17" thickBot="1" x14ac:dyDescent="0.25">
      <c r="F137" s="101">
        <f>RATE(F136,F139,F138,F140)</f>
        <v>1.5430128008203127E-4</v>
      </c>
      <c r="G137" s="1" t="s">
        <v>42</v>
      </c>
    </row>
    <row r="138" spans="4:7" ht="17" thickBot="1" x14ac:dyDescent="0.25">
      <c r="D138" s="103" t="s">
        <v>761</v>
      </c>
      <c r="E138" s="6"/>
      <c r="F138" s="104">
        <v>7000</v>
      </c>
      <c r="G138" s="7" t="s">
        <v>39</v>
      </c>
    </row>
    <row r="139" spans="4:7" x14ac:dyDescent="0.2">
      <c r="F139" s="12">
        <v>-195</v>
      </c>
      <c r="G139" s="1" t="s">
        <v>47</v>
      </c>
    </row>
    <row r="140" spans="4:7" x14ac:dyDescent="0.2">
      <c r="F140" s="12">
        <v>0</v>
      </c>
      <c r="G140" s="1" t="s">
        <v>50</v>
      </c>
    </row>
    <row r="142" spans="4:7" x14ac:dyDescent="0.2">
      <c r="D142" s="1" t="s">
        <v>752</v>
      </c>
      <c r="G142" s="1" t="s">
        <v>177</v>
      </c>
    </row>
    <row r="143" spans="4:7" x14ac:dyDescent="0.2">
      <c r="F143" s="12" t="s">
        <v>179</v>
      </c>
      <c r="G143" s="1" t="s">
        <v>178</v>
      </c>
    </row>
    <row r="144" spans="4:7" x14ac:dyDescent="0.2">
      <c r="F144" s="12">
        <v>36</v>
      </c>
      <c r="G144" s="1" t="s">
        <v>45</v>
      </c>
    </row>
    <row r="145" spans="1:8" ht="17" thickBot="1" x14ac:dyDescent="0.25">
      <c r="F145" s="101">
        <f>RATE(F144,F147,F146,F148)</f>
        <v>1.2765291363633311E-2</v>
      </c>
      <c r="G145" s="1" t="s">
        <v>42</v>
      </c>
    </row>
    <row r="146" spans="1:8" ht="17" thickBot="1" x14ac:dyDescent="0.25">
      <c r="D146" s="103" t="s">
        <v>762</v>
      </c>
      <c r="E146" s="6"/>
      <c r="F146" s="104">
        <v>5600</v>
      </c>
      <c r="G146" s="7" t="s">
        <v>39</v>
      </c>
    </row>
    <row r="147" spans="1:8" x14ac:dyDescent="0.2">
      <c r="F147" s="12">
        <v>-195</v>
      </c>
      <c r="G147" s="1" t="s">
        <v>47</v>
      </c>
    </row>
    <row r="148" spans="1:8" x14ac:dyDescent="0.2">
      <c r="F148" s="12">
        <v>0</v>
      </c>
      <c r="G148" s="1" t="s">
        <v>50</v>
      </c>
    </row>
    <row r="150" spans="1:8" x14ac:dyDescent="0.2">
      <c r="A150" s="1" t="s">
        <v>753</v>
      </c>
    </row>
    <row r="151" spans="1:8" x14ac:dyDescent="0.2">
      <c r="A151" s="1" t="s">
        <v>754</v>
      </c>
    </row>
    <row r="152" spans="1:8" x14ac:dyDescent="0.2">
      <c r="D152" s="102">
        <f>(1+F145)^12-1</f>
        <v>0.1644094190907428</v>
      </c>
      <c r="F152" s="1" t="s">
        <v>755</v>
      </c>
    </row>
    <row r="154" spans="1:8" x14ac:dyDescent="0.2">
      <c r="A154" s="2" t="s">
        <v>756</v>
      </c>
    </row>
    <row r="155" spans="1:8" x14ac:dyDescent="0.2">
      <c r="A155" s="1" t="s">
        <v>757</v>
      </c>
    </row>
    <row r="156" spans="1:8" x14ac:dyDescent="0.2">
      <c r="A156" s="1" t="s">
        <v>758</v>
      </c>
    </row>
    <row r="157" spans="1:8" x14ac:dyDescent="0.2">
      <c r="A157" s="1" t="s">
        <v>759</v>
      </c>
    </row>
    <row r="158" spans="1:8" x14ac:dyDescent="0.2">
      <c r="A158" s="1" t="s">
        <v>760</v>
      </c>
    </row>
    <row r="160" spans="1:8" x14ac:dyDescent="0.2">
      <c r="A160" s="97" t="s">
        <v>763</v>
      </c>
      <c r="B160" s="97"/>
      <c r="C160" s="97"/>
      <c r="D160" s="97"/>
      <c r="E160" s="97"/>
      <c r="F160" s="97"/>
      <c r="G160" s="97"/>
      <c r="H160" s="97"/>
    </row>
    <row r="161" spans="1:7" x14ac:dyDescent="0.2">
      <c r="A161" s="1" t="s">
        <v>764</v>
      </c>
    </row>
    <row r="162" spans="1:7" x14ac:dyDescent="0.2">
      <c r="A162" s="1" t="s">
        <v>765</v>
      </c>
    </row>
    <row r="163" spans="1:7" x14ac:dyDescent="0.2">
      <c r="A163" s="1" t="s">
        <v>766</v>
      </c>
    </row>
    <row r="164" spans="1:7" x14ac:dyDescent="0.2">
      <c r="A164" s="1" t="s">
        <v>778</v>
      </c>
    </row>
    <row r="166" spans="1:7" x14ac:dyDescent="0.2">
      <c r="E166" s="12"/>
      <c r="F166" s="1" t="s">
        <v>177</v>
      </c>
    </row>
    <row r="167" spans="1:7" x14ac:dyDescent="0.2">
      <c r="E167" s="12" t="s">
        <v>179</v>
      </c>
      <c r="F167" s="1" t="s">
        <v>178</v>
      </c>
    </row>
    <row r="168" spans="1:7" x14ac:dyDescent="0.2">
      <c r="A168" s="1" t="s">
        <v>767</v>
      </c>
      <c r="E168" s="12">
        <v>60</v>
      </c>
      <c r="F168" s="1" t="s">
        <v>45</v>
      </c>
    </row>
    <row r="169" spans="1:7" x14ac:dyDescent="0.2">
      <c r="A169" s="1" t="s">
        <v>777</v>
      </c>
      <c r="E169" s="105">
        <f>RATE(E168,E171,E170,E172)</f>
        <v>3.521358599279279E-3</v>
      </c>
      <c r="F169" s="1" t="s">
        <v>42</v>
      </c>
      <c r="G169" s="1" t="s">
        <v>51</v>
      </c>
    </row>
    <row r="170" spans="1:7" x14ac:dyDescent="0.2">
      <c r="A170" s="1" t="s">
        <v>768</v>
      </c>
      <c r="E170" s="12">
        <v>540000</v>
      </c>
      <c r="F170" s="1" t="s">
        <v>39</v>
      </c>
    </row>
    <row r="171" spans="1:7" x14ac:dyDescent="0.2">
      <c r="A171" s="1" t="s">
        <v>557</v>
      </c>
      <c r="E171" s="12">
        <v>-10000</v>
      </c>
      <c r="F171" s="1" t="s">
        <v>47</v>
      </c>
    </row>
    <row r="172" spans="1:7" x14ac:dyDescent="0.2">
      <c r="A172" s="1" t="s">
        <v>769</v>
      </c>
      <c r="E172" s="12">
        <v>0</v>
      </c>
      <c r="F172" s="1" t="s">
        <v>50</v>
      </c>
    </row>
    <row r="176" spans="1:7" x14ac:dyDescent="0.2">
      <c r="D176" s="1" t="s">
        <v>770</v>
      </c>
    </row>
    <row r="177" spans="1:8" x14ac:dyDescent="0.2">
      <c r="D177" s="1" t="s">
        <v>771</v>
      </c>
    </row>
    <row r="178" spans="1:8" x14ac:dyDescent="0.2">
      <c r="D178" s="1" t="s">
        <v>772</v>
      </c>
    </row>
    <row r="179" spans="1:8" x14ac:dyDescent="0.2">
      <c r="D179" s="1" t="s">
        <v>773</v>
      </c>
    </row>
    <row r="180" spans="1:8" x14ac:dyDescent="0.2">
      <c r="D180" s="1" t="s">
        <v>774</v>
      </c>
      <c r="G180" s="1" t="s">
        <v>775</v>
      </c>
    </row>
    <row r="181" spans="1:8" x14ac:dyDescent="0.2">
      <c r="D181" s="1" t="s">
        <v>776</v>
      </c>
    </row>
    <row r="183" spans="1:8" ht="17" thickBot="1" x14ac:dyDescent="0.25">
      <c r="D183" s="1" t="s">
        <v>779</v>
      </c>
    </row>
    <row r="184" spans="1:8" ht="17" thickBot="1" x14ac:dyDescent="0.25">
      <c r="A184" s="103" t="s">
        <v>781</v>
      </c>
      <c r="B184" s="6"/>
      <c r="C184" s="6"/>
      <c r="D184" s="106">
        <f>(1+E169)^12-1</f>
        <v>4.3084383754335986E-2</v>
      </c>
      <c r="F184" s="1" t="s">
        <v>780</v>
      </c>
    </row>
    <row r="187" spans="1:8" x14ac:dyDescent="0.2">
      <c r="F187" s="1" t="s">
        <v>782</v>
      </c>
    </row>
    <row r="189" spans="1:8" x14ac:dyDescent="0.2">
      <c r="E189" s="1" t="s">
        <v>783</v>
      </c>
    </row>
    <row r="191" spans="1:8" x14ac:dyDescent="0.2">
      <c r="A191" s="97" t="s">
        <v>784</v>
      </c>
      <c r="B191" s="97"/>
      <c r="C191" s="97"/>
      <c r="D191" s="97"/>
      <c r="E191" s="97"/>
      <c r="F191" s="97"/>
      <c r="G191" s="97"/>
      <c r="H191" s="97"/>
    </row>
    <row r="193" spans="1:7" x14ac:dyDescent="0.2">
      <c r="A193" s="1" t="s">
        <v>785</v>
      </c>
    </row>
    <row r="194" spans="1:7" x14ac:dyDescent="0.2">
      <c r="A194" s="1" t="s">
        <v>786</v>
      </c>
    </row>
    <row r="195" spans="1:7" x14ac:dyDescent="0.2">
      <c r="A195" s="1" t="s">
        <v>787</v>
      </c>
    </row>
    <row r="196" spans="1:7" x14ac:dyDescent="0.2">
      <c r="A196" s="1" t="s">
        <v>788</v>
      </c>
    </row>
    <row r="197" spans="1:7" x14ac:dyDescent="0.2">
      <c r="A197" s="1" t="s">
        <v>789</v>
      </c>
    </row>
    <row r="198" spans="1:7" x14ac:dyDescent="0.2">
      <c r="A198" s="1" t="s">
        <v>790</v>
      </c>
    </row>
    <row r="199" spans="1:7" x14ac:dyDescent="0.2">
      <c r="A199" s="1" t="s">
        <v>791</v>
      </c>
    </row>
    <row r="201" spans="1:7" x14ac:dyDescent="0.2">
      <c r="A201" s="1" t="s">
        <v>792</v>
      </c>
    </row>
    <row r="203" spans="1:7" x14ac:dyDescent="0.2">
      <c r="E203" s="12"/>
      <c r="F203" s="1" t="s">
        <v>177</v>
      </c>
    </row>
    <row r="204" spans="1:7" x14ac:dyDescent="0.2">
      <c r="E204" s="12" t="s">
        <v>179</v>
      </c>
      <c r="F204" s="1" t="s">
        <v>178</v>
      </c>
    </row>
    <row r="205" spans="1:7" x14ac:dyDescent="0.2">
      <c r="E205" s="12">
        <v>10</v>
      </c>
      <c r="F205" s="1" t="s">
        <v>45</v>
      </c>
    </row>
    <row r="206" spans="1:7" x14ac:dyDescent="0.2">
      <c r="A206" s="1" t="s">
        <v>794</v>
      </c>
      <c r="E206" s="105">
        <f>RATE(E205,E208,E207,E209)</f>
        <v>9.4364540078863898E-3</v>
      </c>
      <c r="F206" s="1" t="s">
        <v>42</v>
      </c>
      <c r="G206" s="1" t="s">
        <v>51</v>
      </c>
    </row>
    <row r="207" spans="1:7" x14ac:dyDescent="0.2">
      <c r="D207" s="107" t="s">
        <v>793</v>
      </c>
      <c r="E207" s="12">
        <f>500000*0.95</f>
        <v>475000</v>
      </c>
      <c r="F207" s="1" t="s">
        <v>39</v>
      </c>
    </row>
    <row r="208" spans="1:7" x14ac:dyDescent="0.2">
      <c r="E208" s="12">
        <v>-50000</v>
      </c>
      <c r="F208" s="1" t="s">
        <v>47</v>
      </c>
    </row>
    <row r="209" spans="1:8" x14ac:dyDescent="0.2">
      <c r="E209" s="12">
        <v>0</v>
      </c>
      <c r="F209" s="1" t="s">
        <v>50</v>
      </c>
    </row>
    <row r="211" spans="1:8" x14ac:dyDescent="0.2">
      <c r="A211" s="1" t="s">
        <v>795</v>
      </c>
    </row>
    <row r="213" spans="1:8" x14ac:dyDescent="0.2">
      <c r="C213" s="108">
        <f>(1+E206)^4-1</f>
        <v>3.8283465085318324E-2</v>
      </c>
      <c r="E213" s="1" t="s">
        <v>796</v>
      </c>
    </row>
    <row r="216" spans="1:8" x14ac:dyDescent="0.2">
      <c r="C216" s="1" t="s">
        <v>799</v>
      </c>
      <c r="E216" s="1" t="s">
        <v>797</v>
      </c>
    </row>
    <row r="217" spans="1:8" x14ac:dyDescent="0.2">
      <c r="C217" s="1" t="s">
        <v>800</v>
      </c>
      <c r="E217" s="1" t="s">
        <v>798</v>
      </c>
    </row>
    <row r="218" spans="1:8" x14ac:dyDescent="0.2">
      <c r="C218" s="1" t="s">
        <v>801</v>
      </c>
    </row>
    <row r="220" spans="1:8" x14ac:dyDescent="0.2">
      <c r="A220" s="97" t="s">
        <v>802</v>
      </c>
      <c r="B220" s="97"/>
      <c r="C220" s="97"/>
      <c r="D220" s="97"/>
      <c r="E220" s="97"/>
      <c r="F220" s="97"/>
      <c r="G220" s="97"/>
      <c r="H220" s="97"/>
    </row>
    <row r="221" spans="1:8" x14ac:dyDescent="0.2">
      <c r="A221" s="1" t="s">
        <v>803</v>
      </c>
    </row>
    <row r="222" spans="1:8" x14ac:dyDescent="0.2">
      <c r="A222" s="1" t="s">
        <v>804</v>
      </c>
    </row>
    <row r="223" spans="1:8" x14ac:dyDescent="0.2">
      <c r="A223" s="1" t="s">
        <v>805</v>
      </c>
    </row>
    <row r="224" spans="1:8" x14ac:dyDescent="0.2">
      <c r="A224" s="1" t="s">
        <v>806</v>
      </c>
    </row>
    <row r="225" spans="1:8" x14ac:dyDescent="0.2">
      <c r="A225" s="1" t="s">
        <v>807</v>
      </c>
    </row>
    <row r="226" spans="1:8" x14ac:dyDescent="0.2">
      <c r="A226" s="1" t="s">
        <v>808</v>
      </c>
    </row>
    <row r="228" spans="1:8" x14ac:dyDescent="0.2">
      <c r="A228" s="1" t="s">
        <v>809</v>
      </c>
    </row>
    <row r="230" spans="1:8" x14ac:dyDescent="0.2">
      <c r="B230" s="12" t="s">
        <v>291</v>
      </c>
      <c r="C230" s="1" t="s">
        <v>177</v>
      </c>
      <c r="F230" s="12" t="s">
        <v>290</v>
      </c>
      <c r="G230" s="1" t="s">
        <v>177</v>
      </c>
    </row>
    <row r="231" spans="1:8" x14ac:dyDescent="0.2">
      <c r="B231" s="12" t="s">
        <v>179</v>
      </c>
      <c r="C231" s="1" t="s">
        <v>178</v>
      </c>
      <c r="F231" s="12" t="s">
        <v>179</v>
      </c>
      <c r="G231" s="1" t="s">
        <v>178</v>
      </c>
    </row>
    <row r="232" spans="1:8" x14ac:dyDescent="0.2">
      <c r="B232" s="12">
        <v>20</v>
      </c>
      <c r="C232" s="1" t="s">
        <v>45</v>
      </c>
      <c r="F232" s="12">
        <v>10</v>
      </c>
      <c r="G232" s="1" t="s">
        <v>45</v>
      </c>
    </row>
    <row r="233" spans="1:8" x14ac:dyDescent="0.2">
      <c r="B233" s="105">
        <f>RATE(B232,B235,B234,B236)</f>
        <v>1.1971635038702614E-2</v>
      </c>
      <c r="C233" s="1" t="s">
        <v>42</v>
      </c>
      <c r="D233" s="1" t="s">
        <v>51</v>
      </c>
      <c r="F233" s="105">
        <f>RATE(F232,F235,F234,F236)</f>
        <v>1.5454877885589706E-2</v>
      </c>
      <c r="G233" s="1" t="s">
        <v>42</v>
      </c>
      <c r="H233" s="1" t="s">
        <v>51</v>
      </c>
    </row>
    <row r="234" spans="1:8" x14ac:dyDescent="0.2">
      <c r="B234" s="12">
        <v>460000</v>
      </c>
      <c r="C234" s="1" t="s">
        <v>39</v>
      </c>
      <c r="F234" s="12">
        <v>460000</v>
      </c>
      <c r="G234" s="1" t="s">
        <v>39</v>
      </c>
    </row>
    <row r="235" spans="1:8" x14ac:dyDescent="0.2">
      <c r="B235" s="12">
        <v>-26000</v>
      </c>
      <c r="C235" s="1" t="s">
        <v>47</v>
      </c>
      <c r="F235" s="12">
        <v>-50000</v>
      </c>
      <c r="G235" s="1" t="s">
        <v>47</v>
      </c>
    </row>
    <row r="236" spans="1:8" x14ac:dyDescent="0.2">
      <c r="B236" s="12">
        <v>0</v>
      </c>
      <c r="C236" s="1" t="s">
        <v>50</v>
      </c>
      <c r="F236" s="12">
        <v>0</v>
      </c>
      <c r="G236" s="1" t="s">
        <v>50</v>
      </c>
    </row>
    <row r="238" spans="1:8" x14ac:dyDescent="0.2">
      <c r="A238" s="1" t="s">
        <v>810</v>
      </c>
    </row>
    <row r="239" spans="1:8" x14ac:dyDescent="0.2">
      <c r="B239" s="109">
        <f>(1+1.19716%)^12-1</f>
        <v>0.15350609987751351</v>
      </c>
      <c r="F239" s="109">
        <f>(1+1.54549%)^12-1</f>
        <v>0.20206423307819454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AF3091-E866-494E-A95A-0F19C307CC93}">
  <dimension ref="A1:J372"/>
  <sheetViews>
    <sheetView rightToLeft="1" topLeftCell="A5" zoomScale="280" workbookViewId="0">
      <selection activeCell="C15" sqref="C15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811</v>
      </c>
      <c r="B1" s="29"/>
      <c r="C1" s="29"/>
      <c r="D1" s="29"/>
      <c r="E1" s="29"/>
      <c r="F1" s="29"/>
      <c r="G1" s="29"/>
      <c r="H1" s="29"/>
    </row>
    <row r="137" spans="1:8" x14ac:dyDescent="0.2">
      <c r="A137" s="2" t="s">
        <v>1101</v>
      </c>
    </row>
    <row r="138" spans="1:8" ht="17" thickBot="1" x14ac:dyDescent="0.25"/>
    <row r="139" spans="1:8" ht="17" thickBot="1" x14ac:dyDescent="0.25">
      <c r="A139" s="3" t="s">
        <v>1102</v>
      </c>
      <c r="B139" s="4"/>
      <c r="C139" s="4"/>
      <c r="D139" s="4"/>
      <c r="E139" s="4"/>
      <c r="F139" s="4"/>
      <c r="G139" s="4"/>
      <c r="H139" s="5"/>
    </row>
    <row r="141" spans="1:8" x14ac:dyDescent="0.2">
      <c r="B141" s="1">
        <v>5</v>
      </c>
      <c r="C141" s="1" t="s">
        <v>45</v>
      </c>
    </row>
    <row r="142" spans="1:8" x14ac:dyDescent="0.2">
      <c r="B142" s="1">
        <v>4</v>
      </c>
      <c r="C142" s="1" t="s">
        <v>42</v>
      </c>
    </row>
    <row r="143" spans="1:8" x14ac:dyDescent="0.2">
      <c r="B143" s="1">
        <v>-12000</v>
      </c>
      <c r="C143" s="1" t="s">
        <v>39</v>
      </c>
    </row>
    <row r="144" spans="1:8" x14ac:dyDescent="0.2">
      <c r="B144" s="1">
        <v>0</v>
      </c>
      <c r="C144" s="1" t="s">
        <v>47</v>
      </c>
    </row>
    <row r="145" spans="1:8" x14ac:dyDescent="0.2">
      <c r="B145" s="145">
        <f>FV(B142/100,B141,B144,B143)</f>
        <v>14599.834828800003</v>
      </c>
      <c r="C145" s="1" t="s">
        <v>50</v>
      </c>
    </row>
    <row r="146" spans="1:8" ht="17" thickBot="1" x14ac:dyDescent="0.25"/>
    <row r="147" spans="1:8" ht="17" thickBot="1" x14ac:dyDescent="0.25">
      <c r="A147" s="3" t="s">
        <v>1103</v>
      </c>
      <c r="B147" s="4"/>
      <c r="C147" s="4"/>
      <c r="D147" s="4"/>
      <c r="E147" s="4"/>
      <c r="F147" s="4"/>
      <c r="G147" s="4"/>
      <c r="H147" s="5"/>
    </row>
    <row r="149" spans="1:8" x14ac:dyDescent="0.2">
      <c r="B149" s="1">
        <f>8*12</f>
        <v>96</v>
      </c>
      <c r="C149" s="1" t="s">
        <v>45</v>
      </c>
    </row>
    <row r="150" spans="1:8" x14ac:dyDescent="0.2">
      <c r="B150" s="1">
        <v>0.4</v>
      </c>
      <c r="C150" s="1" t="s">
        <v>42</v>
      </c>
    </row>
    <row r="151" spans="1:8" x14ac:dyDescent="0.2">
      <c r="B151" s="1">
        <v>-14000</v>
      </c>
      <c r="C151" s="1" t="s">
        <v>39</v>
      </c>
    </row>
    <row r="152" spans="1:8" x14ac:dyDescent="0.2">
      <c r="B152" s="1">
        <v>0</v>
      </c>
      <c r="C152" s="1" t="s">
        <v>47</v>
      </c>
    </row>
    <row r="153" spans="1:8" x14ac:dyDescent="0.2">
      <c r="B153" s="145">
        <f>FV(B150/100,B149,B152,B151)</f>
        <v>20538.298680447399</v>
      </c>
      <c r="C153" s="1" t="s">
        <v>50</v>
      </c>
    </row>
    <row r="154" spans="1:8" ht="17" thickBot="1" x14ac:dyDescent="0.25"/>
    <row r="155" spans="1:8" ht="17" thickBot="1" x14ac:dyDescent="0.25">
      <c r="A155" s="3" t="s">
        <v>1104</v>
      </c>
      <c r="B155" s="4"/>
      <c r="C155" s="4"/>
      <c r="D155" s="4"/>
      <c r="E155" s="4"/>
      <c r="F155" s="4"/>
      <c r="G155" s="4"/>
      <c r="H155" s="5"/>
    </row>
    <row r="157" spans="1:8" x14ac:dyDescent="0.2">
      <c r="B157" s="1">
        <f>12*4</f>
        <v>48</v>
      </c>
      <c r="C157" s="1" t="s">
        <v>45</v>
      </c>
    </row>
    <row r="158" spans="1:8" x14ac:dyDescent="0.2">
      <c r="B158" s="1">
        <v>3</v>
      </c>
      <c r="C158" s="1" t="s">
        <v>42</v>
      </c>
    </row>
    <row r="159" spans="1:8" x14ac:dyDescent="0.2">
      <c r="B159" s="1">
        <v>-50000</v>
      </c>
      <c r="C159" s="1" t="s">
        <v>39</v>
      </c>
    </row>
    <row r="160" spans="1:8" x14ac:dyDescent="0.2">
      <c r="B160" s="1">
        <v>0</v>
      </c>
      <c r="C160" s="1" t="s">
        <v>47</v>
      </c>
    </row>
    <row r="161" spans="1:8" x14ac:dyDescent="0.2">
      <c r="B161" s="145">
        <f>FV(B158/100,B157,B160,B159)</f>
        <v>206612.59396300721</v>
      </c>
      <c r="C161" s="1" t="s">
        <v>50</v>
      </c>
    </row>
    <row r="162" spans="1:8" ht="17" thickBot="1" x14ac:dyDescent="0.25"/>
    <row r="163" spans="1:8" ht="17" thickBot="1" x14ac:dyDescent="0.25">
      <c r="A163" s="3" t="s">
        <v>1105</v>
      </c>
      <c r="B163" s="4"/>
      <c r="C163" s="4"/>
      <c r="D163" s="4"/>
      <c r="E163" s="4"/>
      <c r="F163" s="4"/>
      <c r="G163" s="4"/>
      <c r="H163" s="5"/>
    </row>
    <row r="166" spans="1:8" x14ac:dyDescent="0.2">
      <c r="B166" s="1">
        <v>2</v>
      </c>
      <c r="C166" s="1">
        <f>7*4</f>
        <v>28</v>
      </c>
      <c r="D166" s="1">
        <v>12</v>
      </c>
      <c r="E166" s="1" t="s">
        <v>45</v>
      </c>
    </row>
    <row r="167" spans="1:8" x14ac:dyDescent="0.2">
      <c r="B167" s="1">
        <v>5</v>
      </c>
      <c r="C167" s="1">
        <v>4</v>
      </c>
      <c r="D167" s="1">
        <v>1</v>
      </c>
      <c r="E167" s="1" t="s">
        <v>42</v>
      </c>
    </row>
    <row r="168" spans="1:8" x14ac:dyDescent="0.2">
      <c r="B168" s="135">
        <f>-C170</f>
        <v>-135160.55831977594</v>
      </c>
      <c r="C168" s="135">
        <f>-D170</f>
        <v>-45073.001205278793</v>
      </c>
      <c r="D168" s="1">
        <v>-40000</v>
      </c>
      <c r="E168" s="1" t="s">
        <v>39</v>
      </c>
    </row>
    <row r="169" spans="1:8" x14ac:dyDescent="0.2">
      <c r="B169" s="1">
        <v>0</v>
      </c>
      <c r="C169" s="1">
        <v>0</v>
      </c>
      <c r="D169" s="1">
        <v>0</v>
      </c>
      <c r="E169" s="1" t="s">
        <v>47</v>
      </c>
    </row>
    <row r="170" spans="1:8" x14ac:dyDescent="0.2">
      <c r="B170" s="145">
        <f>FV(B167/100,B166,B169,B168)</f>
        <v>149014.51554755299</v>
      </c>
      <c r="C170" s="145">
        <f>FV(C167/100,C166,C169,C168)</f>
        <v>135160.55831977594</v>
      </c>
      <c r="D170" s="145">
        <f>FV(D167/100,D166,D169,D168)</f>
        <v>45073.001205278793</v>
      </c>
      <c r="E170" s="1" t="s">
        <v>50</v>
      </c>
    </row>
    <row r="172" spans="1:8" x14ac:dyDescent="0.2">
      <c r="B172" s="2" t="s">
        <v>1106</v>
      </c>
      <c r="C172" s="2"/>
    </row>
    <row r="173" spans="1:8" ht="17" thickBot="1" x14ac:dyDescent="0.25"/>
    <row r="174" spans="1:8" ht="17" thickBot="1" x14ac:dyDescent="0.25">
      <c r="A174" s="3" t="s">
        <v>1107</v>
      </c>
      <c r="B174" s="4"/>
      <c r="C174" s="4"/>
      <c r="D174" s="4"/>
      <c r="E174" s="4"/>
      <c r="F174" s="4"/>
      <c r="G174" s="4"/>
      <c r="H174" s="5"/>
    </row>
    <row r="176" spans="1:8" x14ac:dyDescent="0.2">
      <c r="B176" s="1">
        <v>48</v>
      </c>
      <c r="C176" s="1" t="s">
        <v>45</v>
      </c>
    </row>
    <row r="177" spans="1:8" x14ac:dyDescent="0.2">
      <c r="B177" s="1">
        <v>1</v>
      </c>
      <c r="C177" s="1" t="s">
        <v>42</v>
      </c>
    </row>
    <row r="178" spans="1:8" x14ac:dyDescent="0.2">
      <c r="B178" s="1">
        <v>0</v>
      </c>
      <c r="C178" s="1" t="s">
        <v>39</v>
      </c>
    </row>
    <row r="179" spans="1:8" x14ac:dyDescent="0.2">
      <c r="B179" s="1">
        <v>-900</v>
      </c>
      <c r="C179" s="1" t="s">
        <v>47</v>
      </c>
    </row>
    <row r="180" spans="1:8" x14ac:dyDescent="0.2">
      <c r="B180" s="145">
        <f>FV(B177/100,B176,B179,B178)</f>
        <v>55100.346991421873</v>
      </c>
      <c r="C180" s="1" t="s">
        <v>50</v>
      </c>
    </row>
    <row r="181" spans="1:8" ht="17" thickBot="1" x14ac:dyDescent="0.25"/>
    <row r="182" spans="1:8" ht="17" thickBot="1" x14ac:dyDescent="0.25">
      <c r="A182" s="3" t="s">
        <v>1108</v>
      </c>
      <c r="B182" s="4"/>
      <c r="C182" s="4"/>
      <c r="D182" s="4"/>
      <c r="E182" s="4"/>
      <c r="F182" s="4"/>
      <c r="G182" s="4"/>
      <c r="H182" s="5"/>
    </row>
    <row r="184" spans="1:8" x14ac:dyDescent="0.2">
      <c r="B184" s="1">
        <f>3*2</f>
        <v>6</v>
      </c>
      <c r="C184" s="1">
        <v>48</v>
      </c>
      <c r="D184" s="1" t="s">
        <v>45</v>
      </c>
    </row>
    <row r="185" spans="1:8" x14ac:dyDescent="0.2">
      <c r="B185" s="1">
        <v>5</v>
      </c>
      <c r="C185" s="1">
        <v>1</v>
      </c>
      <c r="D185" s="1" t="s">
        <v>42</v>
      </c>
    </row>
    <row r="186" spans="1:8" x14ac:dyDescent="0.2">
      <c r="B186" s="135">
        <f>-C188</f>
        <v>-55100.346991421873</v>
      </c>
      <c r="C186" s="1">
        <v>0</v>
      </c>
      <c r="D186" s="1" t="s">
        <v>39</v>
      </c>
    </row>
    <row r="187" spans="1:8" x14ac:dyDescent="0.2">
      <c r="B187" s="1">
        <v>0</v>
      </c>
      <c r="C187" s="1">
        <v>-900</v>
      </c>
      <c r="D187" s="1" t="s">
        <v>47</v>
      </c>
    </row>
    <row r="188" spans="1:8" x14ac:dyDescent="0.2">
      <c r="B188" s="145">
        <f>FV(B185/100,B184,B187,B186)</f>
        <v>73839.734800129285</v>
      </c>
      <c r="C188" s="145">
        <f>FV(C185/100,C184,C187,C186)</f>
        <v>55100.346991421873</v>
      </c>
      <c r="D188" s="1" t="s">
        <v>50</v>
      </c>
    </row>
    <row r="190" spans="1:8" x14ac:dyDescent="0.2">
      <c r="B190" s="2" t="s">
        <v>1109</v>
      </c>
    </row>
    <row r="191" spans="1:8" ht="17" thickBot="1" x14ac:dyDescent="0.25"/>
    <row r="192" spans="1:8" ht="17" thickBot="1" x14ac:dyDescent="0.25">
      <c r="A192" s="3" t="s">
        <v>1110</v>
      </c>
      <c r="B192" s="4"/>
      <c r="C192" s="4"/>
      <c r="D192" s="4"/>
      <c r="E192" s="4"/>
      <c r="F192" s="4"/>
      <c r="G192" s="4"/>
      <c r="H192" s="5"/>
    </row>
    <row r="193" spans="1:8" ht="17" thickBot="1" x14ac:dyDescent="0.25"/>
    <row r="194" spans="1:8" ht="17" thickBot="1" x14ac:dyDescent="0.25">
      <c r="A194" s="3" t="s">
        <v>1111</v>
      </c>
      <c r="B194" s="4"/>
      <c r="C194" s="4"/>
      <c r="D194" s="4"/>
      <c r="E194" s="4"/>
      <c r="F194" s="4"/>
      <c r="G194" s="4"/>
      <c r="H194" s="5"/>
    </row>
    <row r="196" spans="1:8" x14ac:dyDescent="0.2">
      <c r="B196" s="29">
        <f>NPER(B197/100,B199,B198,B200)</f>
        <v>31.539793873096961</v>
      </c>
      <c r="C196" s="1" t="s">
        <v>45</v>
      </c>
    </row>
    <row r="197" spans="1:8" x14ac:dyDescent="0.2">
      <c r="B197" s="1">
        <v>0.8</v>
      </c>
      <c r="C197" s="1" t="s">
        <v>42</v>
      </c>
    </row>
    <row r="198" spans="1:8" x14ac:dyDescent="0.2">
      <c r="B198" s="1">
        <v>-50000</v>
      </c>
      <c r="C198" s="1" t="s">
        <v>39</v>
      </c>
    </row>
    <row r="199" spans="1:8" x14ac:dyDescent="0.2">
      <c r="B199" s="1">
        <v>-1000</v>
      </c>
      <c r="C199" s="1" t="s">
        <v>47</v>
      </c>
    </row>
    <row r="200" spans="1:8" x14ac:dyDescent="0.2">
      <c r="B200" s="135">
        <v>100000</v>
      </c>
      <c r="C200" s="1" t="s">
        <v>50</v>
      </c>
    </row>
    <row r="202" spans="1:8" x14ac:dyDescent="0.2">
      <c r="B202" s="1" t="s">
        <v>1112</v>
      </c>
    </row>
    <row r="203" spans="1:8" ht="17" thickBot="1" x14ac:dyDescent="0.25"/>
    <row r="204" spans="1:8" ht="17" thickBot="1" x14ac:dyDescent="0.25">
      <c r="A204" s="3" t="s">
        <v>1113</v>
      </c>
      <c r="B204" s="4"/>
      <c r="C204" s="4"/>
      <c r="D204" s="4"/>
      <c r="E204" s="4"/>
      <c r="F204" s="4"/>
      <c r="G204" s="4"/>
      <c r="H204" s="5"/>
    </row>
    <row r="205" spans="1:8" ht="17" thickBot="1" x14ac:dyDescent="0.25"/>
    <row r="206" spans="1:8" ht="17" thickBot="1" x14ac:dyDescent="0.25">
      <c r="A206" s="3" t="s">
        <v>1114</v>
      </c>
      <c r="B206" s="4"/>
      <c r="C206" s="4"/>
      <c r="D206" s="4"/>
      <c r="E206" s="4"/>
      <c r="F206" s="4"/>
      <c r="G206" s="4"/>
      <c r="H206" s="5"/>
    </row>
    <row r="208" spans="1:8" x14ac:dyDescent="0.2">
      <c r="C208" s="1">
        <v>5</v>
      </c>
      <c r="D208" s="1">
        <v>4</v>
      </c>
      <c r="E208" s="1">
        <v>2</v>
      </c>
      <c r="F208" s="1" t="s">
        <v>45</v>
      </c>
    </row>
    <row r="209" spans="1:8" x14ac:dyDescent="0.2">
      <c r="C209" s="1">
        <v>6</v>
      </c>
      <c r="D209" s="1">
        <v>5</v>
      </c>
      <c r="E209" s="1">
        <v>7</v>
      </c>
      <c r="F209" s="1" t="s">
        <v>42</v>
      </c>
    </row>
    <row r="210" spans="1:8" x14ac:dyDescent="0.2">
      <c r="C210" s="135">
        <f>-D212</f>
        <v>-333991.94534999999</v>
      </c>
      <c r="D210" s="135">
        <f>-E212</f>
        <v>-274776</v>
      </c>
      <c r="E210" s="1">
        <v>-240000</v>
      </c>
      <c r="F210" s="1" t="s">
        <v>39</v>
      </c>
    </row>
    <row r="211" spans="1:8" x14ac:dyDescent="0.2">
      <c r="C211" s="1">
        <v>0</v>
      </c>
      <c r="D211" s="1">
        <v>0</v>
      </c>
      <c r="E211" s="1">
        <v>0</v>
      </c>
      <c r="F211" s="1" t="s">
        <v>47</v>
      </c>
    </row>
    <row r="212" spans="1:8" x14ac:dyDescent="0.2">
      <c r="C212" s="145">
        <f>FV(C209/100,C208,C211,C210)</f>
        <v>446956.56397975155</v>
      </c>
      <c r="D212" s="145">
        <f>FV(D209/100,D208,D211,D210)</f>
        <v>333991.94534999999</v>
      </c>
      <c r="E212" s="145">
        <f>FV(E209/100,E208,E211,E210)</f>
        <v>274776</v>
      </c>
      <c r="F212" s="1" t="s">
        <v>50</v>
      </c>
    </row>
    <row r="214" spans="1:8" x14ac:dyDescent="0.2">
      <c r="A214" s="1" t="s">
        <v>1118</v>
      </c>
    </row>
    <row r="215" spans="1:8" x14ac:dyDescent="0.2">
      <c r="A215" s="1" t="s">
        <v>1117</v>
      </c>
    </row>
    <row r="216" spans="1:8" ht="17" thickBot="1" x14ac:dyDescent="0.25"/>
    <row r="217" spans="1:8" ht="17" thickBot="1" x14ac:dyDescent="0.25">
      <c r="A217" s="3" t="s">
        <v>1116</v>
      </c>
      <c r="B217" s="4"/>
      <c r="C217" s="4"/>
      <c r="D217" s="4"/>
      <c r="E217" s="4"/>
      <c r="F217" s="4"/>
      <c r="G217" s="4"/>
      <c r="H217" s="5"/>
    </row>
    <row r="219" spans="1:8" x14ac:dyDescent="0.2">
      <c r="C219" s="1">
        <f>7*4</f>
        <v>28</v>
      </c>
      <c r="D219" s="1">
        <v>24</v>
      </c>
      <c r="E219" s="1">
        <v>1</v>
      </c>
      <c r="F219" s="1" t="s">
        <v>45</v>
      </c>
    </row>
    <row r="220" spans="1:8" x14ac:dyDescent="0.2">
      <c r="C220" s="1">
        <f>((1+10%)^(1/4)-1)*100</f>
        <v>2.4113689084445111</v>
      </c>
      <c r="D220" s="1">
        <f>((1+10%)^(1/12)-1)*100</f>
        <v>0.79741404289037643</v>
      </c>
      <c r="E220" s="1">
        <v>10</v>
      </c>
      <c r="F220" s="1" t="s">
        <v>42</v>
      </c>
    </row>
    <row r="221" spans="1:8" x14ac:dyDescent="0.2">
      <c r="C221" s="135">
        <f>-D223</f>
        <v>-264775.63442876976</v>
      </c>
      <c r="D221" s="135">
        <f>-E223</f>
        <v>-110000.00000000001</v>
      </c>
      <c r="E221" s="1">
        <v>-100000</v>
      </c>
      <c r="F221" s="1" t="s">
        <v>39</v>
      </c>
    </row>
    <row r="222" spans="1:8" x14ac:dyDescent="0.2">
      <c r="C222" s="1">
        <v>-5000</v>
      </c>
      <c r="D222" s="1">
        <v>-5000</v>
      </c>
      <c r="E222" s="1">
        <v>0</v>
      </c>
      <c r="F222" s="1" t="s">
        <v>47</v>
      </c>
    </row>
    <row r="223" spans="1:8" x14ac:dyDescent="0.2">
      <c r="C223" s="145">
        <f>FV(C220/100,C219,C222,C221)</f>
        <v>712690.34245137847</v>
      </c>
      <c r="D223" s="145">
        <f>FV(D220/100,D219,D222,D221)</f>
        <v>264775.63442876976</v>
      </c>
      <c r="E223" s="145">
        <f>FV(E220/100,E219,E222,E221)</f>
        <v>110000.00000000001</v>
      </c>
      <c r="F223" s="1" t="s">
        <v>50</v>
      </c>
    </row>
    <row r="225" spans="1:10" x14ac:dyDescent="0.2">
      <c r="B225" s="1" t="s">
        <v>1115</v>
      </c>
    </row>
    <row r="229" spans="1:10" ht="18" x14ac:dyDescent="0.2">
      <c r="A229" s="133" t="s">
        <v>900</v>
      </c>
      <c r="B229" s="133"/>
      <c r="C229" s="133"/>
      <c r="D229" s="133"/>
      <c r="E229" s="133"/>
      <c r="F229" s="133"/>
      <c r="G229" s="133"/>
      <c r="H229" s="133"/>
    </row>
    <row r="231" spans="1:10" x14ac:dyDescent="0.2">
      <c r="A231" s="1" t="s">
        <v>901</v>
      </c>
    </row>
    <row r="232" spans="1:10" x14ac:dyDescent="0.2">
      <c r="A232" s="1" t="s">
        <v>902</v>
      </c>
    </row>
    <row r="233" spans="1:10" x14ac:dyDescent="0.2">
      <c r="A233" s="1" t="s">
        <v>903</v>
      </c>
    </row>
    <row r="234" spans="1:10" ht="17" thickBot="1" x14ac:dyDescent="0.25"/>
    <row r="235" spans="1:10" x14ac:dyDescent="0.2">
      <c r="A235" s="30" t="s">
        <v>904</v>
      </c>
      <c r="B235" s="31" t="s">
        <v>905</v>
      </c>
      <c r="C235" s="31"/>
      <c r="D235" s="31"/>
      <c r="E235" s="31"/>
      <c r="F235" s="31" t="s">
        <v>906</v>
      </c>
      <c r="G235" s="31"/>
      <c r="H235" s="31"/>
      <c r="I235" s="31"/>
      <c r="J235" s="23"/>
    </row>
    <row r="236" spans="1:10" x14ac:dyDescent="0.2">
      <c r="A236" s="24">
        <v>1</v>
      </c>
      <c r="B236" s="1" t="s">
        <v>907</v>
      </c>
      <c r="F236" s="1" t="s">
        <v>908</v>
      </c>
      <c r="J236" s="25"/>
    </row>
    <row r="237" spans="1:10" x14ac:dyDescent="0.2">
      <c r="A237" s="24">
        <v>2</v>
      </c>
      <c r="B237" s="1" t="s">
        <v>909</v>
      </c>
      <c r="F237" s="1" t="s">
        <v>910</v>
      </c>
      <c r="J237" s="25"/>
    </row>
    <row r="238" spans="1:10" ht="17" thickBot="1" x14ac:dyDescent="0.25">
      <c r="A238" s="26">
        <v>3</v>
      </c>
      <c r="B238" s="27" t="s">
        <v>911</v>
      </c>
      <c r="C238" s="27"/>
      <c r="D238" s="27"/>
      <c r="E238" s="27"/>
      <c r="F238" s="27" t="s">
        <v>912</v>
      </c>
      <c r="G238" s="27"/>
      <c r="H238" s="27"/>
      <c r="I238" s="27"/>
      <c r="J238" s="28"/>
    </row>
    <row r="240" spans="1:10" x14ac:dyDescent="0.2">
      <c r="A240" s="1" t="s">
        <v>913</v>
      </c>
    </row>
    <row r="242" spans="1:8" x14ac:dyDescent="0.2">
      <c r="A242" s="134" t="s">
        <v>927</v>
      </c>
      <c r="B242" s="134"/>
      <c r="C242" s="134"/>
      <c r="D242" s="134"/>
      <c r="E242" s="134"/>
      <c r="F242" s="134"/>
      <c r="G242" s="134"/>
      <c r="H242" s="134"/>
    </row>
    <row r="243" spans="1:8" x14ac:dyDescent="0.2">
      <c r="A243" s="1" t="s">
        <v>914</v>
      </c>
    </row>
    <row r="244" spans="1:8" x14ac:dyDescent="0.2">
      <c r="A244" s="1" t="s">
        <v>915</v>
      </c>
    </row>
    <row r="245" spans="1:8" x14ac:dyDescent="0.2">
      <c r="A245" s="1" t="s">
        <v>916</v>
      </c>
    </row>
    <row r="246" spans="1:8" x14ac:dyDescent="0.2">
      <c r="A246" s="1" t="s">
        <v>917</v>
      </c>
    </row>
    <row r="247" spans="1:8" x14ac:dyDescent="0.2">
      <c r="A247" s="1" t="s">
        <v>918</v>
      </c>
    </row>
    <row r="249" spans="1:8" x14ac:dyDescent="0.2">
      <c r="A249" s="1" t="s">
        <v>919</v>
      </c>
    </row>
    <row r="250" spans="1:8" x14ac:dyDescent="0.2">
      <c r="E250"/>
    </row>
    <row r="251" spans="1:8" x14ac:dyDescent="0.2">
      <c r="A251" s="2" t="s">
        <v>27</v>
      </c>
    </row>
    <row r="253" spans="1:8" x14ac:dyDescent="0.2">
      <c r="A253" s="1" t="s">
        <v>920</v>
      </c>
    </row>
    <row r="254" spans="1:8" x14ac:dyDescent="0.2">
      <c r="A254" s="1" t="s">
        <v>921</v>
      </c>
    </row>
    <row r="255" spans="1:8" x14ac:dyDescent="0.2">
      <c r="C255" s="59" t="s">
        <v>923</v>
      </c>
      <c r="D255" s="12"/>
      <c r="E255" s="59" t="s">
        <v>922</v>
      </c>
    </row>
    <row r="256" spans="1:8" x14ac:dyDescent="0.2">
      <c r="C256" s="12">
        <v>60</v>
      </c>
      <c r="D256" s="1" t="s">
        <v>45</v>
      </c>
      <c r="E256" s="12">
        <v>20</v>
      </c>
      <c r="F256" s="1" t="s">
        <v>45</v>
      </c>
    </row>
    <row r="257" spans="1:10" x14ac:dyDescent="0.2">
      <c r="C257" s="121">
        <f>((1+12.6825%)^(1/12)-1)*100</f>
        <v>0.99999977493334669</v>
      </c>
      <c r="D257" s="1" t="s">
        <v>42</v>
      </c>
      <c r="E257" s="121">
        <f>((1+12.6825%)^(1/12)-1)*100</f>
        <v>0.99999977493334669</v>
      </c>
      <c r="F257" s="1" t="s">
        <v>42</v>
      </c>
    </row>
    <row r="258" spans="1:10" x14ac:dyDescent="0.2">
      <c r="C258" s="42">
        <f>PV(C257/100,C256,C259,C260)</f>
        <v>35964.032931543748</v>
      </c>
      <c r="D258" s="1" t="s">
        <v>39</v>
      </c>
      <c r="E258" s="42">
        <f>PV(E257/100,E256,E259,E260)</f>
        <v>36091.106750410392</v>
      </c>
      <c r="F258" s="1" t="s">
        <v>39</v>
      </c>
    </row>
    <row r="259" spans="1:10" x14ac:dyDescent="0.2">
      <c r="C259" s="12">
        <v>-800</v>
      </c>
      <c r="D259" s="1" t="s">
        <v>47</v>
      </c>
      <c r="E259" s="12">
        <v>-2000</v>
      </c>
      <c r="F259" s="1" t="s">
        <v>47</v>
      </c>
    </row>
    <row r="260" spans="1:10" x14ac:dyDescent="0.2">
      <c r="C260" s="12">
        <v>0</v>
      </c>
      <c r="D260" s="1" t="s">
        <v>50</v>
      </c>
      <c r="E260" s="12">
        <v>0</v>
      </c>
      <c r="F260" s="1" t="s">
        <v>50</v>
      </c>
    </row>
    <row r="262" spans="1:10" x14ac:dyDescent="0.2">
      <c r="A262" s="1" t="s">
        <v>924</v>
      </c>
    </row>
    <row r="263" spans="1:10" x14ac:dyDescent="0.2">
      <c r="A263" s="1" t="s">
        <v>925</v>
      </c>
    </row>
    <row r="266" spans="1:10" x14ac:dyDescent="0.2">
      <c r="J266" s="1" t="s">
        <v>926</v>
      </c>
    </row>
    <row r="277" spans="1:8" x14ac:dyDescent="0.2">
      <c r="A277" s="134" t="s">
        <v>928</v>
      </c>
      <c r="B277" s="134"/>
      <c r="C277" s="134"/>
      <c r="D277" s="134"/>
      <c r="E277" s="134"/>
      <c r="F277" s="134"/>
      <c r="G277" s="134"/>
      <c r="H277" s="134"/>
    </row>
    <row r="279" spans="1:8" x14ac:dyDescent="0.2">
      <c r="A279" s="1" t="s">
        <v>929</v>
      </c>
      <c r="G279"/>
    </row>
    <row r="280" spans="1:8" x14ac:dyDescent="0.2">
      <c r="A280" s="1" t="s">
        <v>930</v>
      </c>
    </row>
    <row r="281" spans="1:8" x14ac:dyDescent="0.2">
      <c r="A281" s="1" t="s">
        <v>931</v>
      </c>
    </row>
    <row r="282" spans="1:8" x14ac:dyDescent="0.2">
      <c r="A282" s="1" t="s">
        <v>932</v>
      </c>
    </row>
    <row r="283" spans="1:8" x14ac:dyDescent="0.2">
      <c r="A283" s="1" t="s">
        <v>933</v>
      </c>
    </row>
    <row r="285" spans="1:8" x14ac:dyDescent="0.2">
      <c r="A285" s="1" t="s">
        <v>934</v>
      </c>
    </row>
    <row r="287" spans="1:8" x14ac:dyDescent="0.2">
      <c r="A287" s="1" t="s">
        <v>27</v>
      </c>
    </row>
    <row r="288" spans="1:8" x14ac:dyDescent="0.2">
      <c r="A288" s="1" t="s">
        <v>935</v>
      </c>
    </row>
    <row r="289" spans="1:7" x14ac:dyDescent="0.2">
      <c r="A289" s="1" t="s">
        <v>936</v>
      </c>
    </row>
    <row r="290" spans="1:7" x14ac:dyDescent="0.2">
      <c r="A290" s="1" t="s">
        <v>937</v>
      </c>
    </row>
    <row r="291" spans="1:7" x14ac:dyDescent="0.2">
      <c r="B291" s="12" t="s">
        <v>942</v>
      </c>
      <c r="C291" s="12"/>
      <c r="D291" s="12" t="s">
        <v>941</v>
      </c>
      <c r="E291" s="12"/>
      <c r="F291" s="12" t="s">
        <v>940</v>
      </c>
    </row>
    <row r="292" spans="1:7" x14ac:dyDescent="0.2">
      <c r="B292" s="59" t="s">
        <v>939</v>
      </c>
      <c r="C292" s="12"/>
      <c r="D292" s="59" t="s">
        <v>938</v>
      </c>
      <c r="E292" s="12"/>
      <c r="F292" s="59" t="s">
        <v>316</v>
      </c>
    </row>
    <row r="293" spans="1:7" x14ac:dyDescent="0.2">
      <c r="B293" s="12">
        <v>12</v>
      </c>
      <c r="C293" s="1" t="s">
        <v>45</v>
      </c>
      <c r="D293" s="12">
        <f>6.5*12</f>
        <v>78</v>
      </c>
      <c r="E293" s="1" t="s">
        <v>45</v>
      </c>
      <c r="F293" s="12">
        <v>36</v>
      </c>
      <c r="G293" s="1" t="s">
        <v>45</v>
      </c>
    </row>
    <row r="294" spans="1:7" x14ac:dyDescent="0.2">
      <c r="B294" s="120">
        <v>0.5</v>
      </c>
      <c r="C294" s="1" t="s">
        <v>42</v>
      </c>
      <c r="D294" s="120">
        <v>0.5</v>
      </c>
      <c r="E294" s="1" t="s">
        <v>42</v>
      </c>
      <c r="F294" s="120">
        <v>0.5</v>
      </c>
      <c r="G294" s="1" t="s">
        <v>42</v>
      </c>
    </row>
    <row r="295" spans="1:7" x14ac:dyDescent="0.2">
      <c r="B295" s="42">
        <f>PV(B294/100,B293,B296,B297)</f>
        <v>-94190.533966591975</v>
      </c>
      <c r="C295" s="1" t="s">
        <v>39</v>
      </c>
      <c r="D295" s="42">
        <f>PV(D294/100,D293,D296,D297)</f>
        <v>-128913.94699278503</v>
      </c>
      <c r="E295" s="1" t="s">
        <v>39</v>
      </c>
      <c r="F295" s="42">
        <f>PV(F294/100,F293,F296,F297)</f>
        <v>-131484.06495705992</v>
      </c>
      <c r="G295" s="1" t="s">
        <v>39</v>
      </c>
    </row>
    <row r="296" spans="1:7" x14ac:dyDescent="0.2">
      <c r="B296" s="12">
        <v>0</v>
      </c>
      <c r="C296" s="1" t="s">
        <v>47</v>
      </c>
      <c r="D296" s="12">
        <v>2000</v>
      </c>
      <c r="E296" s="1" t="s">
        <v>47</v>
      </c>
      <c r="F296" s="12">
        <v>4000</v>
      </c>
      <c r="G296" s="1" t="s">
        <v>47</v>
      </c>
    </row>
    <row r="297" spans="1:7" x14ac:dyDescent="0.2">
      <c r="B297" s="12">
        <v>100000</v>
      </c>
      <c r="C297" s="1" t="s">
        <v>50</v>
      </c>
      <c r="D297" s="12">
        <v>0</v>
      </c>
      <c r="E297" s="1" t="s">
        <v>50</v>
      </c>
      <c r="F297" s="12">
        <v>0</v>
      </c>
      <c r="G297" s="1" t="s">
        <v>50</v>
      </c>
    </row>
    <row r="299" spans="1:7" x14ac:dyDescent="0.2">
      <c r="F299" s="1" t="s">
        <v>943</v>
      </c>
    </row>
    <row r="300" spans="1:7" x14ac:dyDescent="0.2">
      <c r="A300" s="1" t="s">
        <v>947</v>
      </c>
      <c r="C300" s="135">
        <f>-F295</f>
        <v>131484.06495705992</v>
      </c>
      <c r="F300" s="1" t="s">
        <v>944</v>
      </c>
    </row>
    <row r="301" spans="1:7" x14ac:dyDescent="0.2">
      <c r="A301" s="1" t="s">
        <v>948</v>
      </c>
      <c r="C301" s="135">
        <f>-D295</f>
        <v>128913.94699278503</v>
      </c>
      <c r="F301" s="1" t="s">
        <v>945</v>
      </c>
    </row>
    <row r="302" spans="1:7" x14ac:dyDescent="0.2">
      <c r="A302" s="1" t="s">
        <v>949</v>
      </c>
      <c r="C302" s="135">
        <f>-B295</f>
        <v>94190.533966591975</v>
      </c>
      <c r="F302" s="1" t="s">
        <v>946</v>
      </c>
    </row>
    <row r="313" spans="1:8" x14ac:dyDescent="0.2">
      <c r="A313" s="136" t="s">
        <v>950</v>
      </c>
      <c r="B313" s="136"/>
      <c r="C313" s="136"/>
      <c r="D313" s="136"/>
      <c r="E313" s="136"/>
      <c r="F313" s="136"/>
      <c r="G313" s="136"/>
      <c r="H313" s="136"/>
    </row>
    <row r="314" spans="1:8" x14ac:dyDescent="0.2">
      <c r="A314" s="1" t="s">
        <v>951</v>
      </c>
    </row>
    <row r="315" spans="1:8" x14ac:dyDescent="0.2">
      <c r="A315" s="1" t="s">
        <v>952</v>
      </c>
    </row>
    <row r="316" spans="1:8" x14ac:dyDescent="0.2">
      <c r="A316" s="1" t="s">
        <v>953</v>
      </c>
    </row>
    <row r="317" spans="1:8" x14ac:dyDescent="0.2">
      <c r="A317" s="1" t="s">
        <v>954</v>
      </c>
    </row>
    <row r="318" spans="1:8" x14ac:dyDescent="0.2">
      <c r="A318" s="1" t="s">
        <v>955</v>
      </c>
    </row>
    <row r="320" spans="1:8" x14ac:dyDescent="0.2">
      <c r="A320" s="2" t="s">
        <v>956</v>
      </c>
    </row>
    <row r="321" spans="1:8" x14ac:dyDescent="0.2">
      <c r="A321" s="1" t="s">
        <v>957</v>
      </c>
    </row>
    <row r="322" spans="1:8" x14ac:dyDescent="0.2">
      <c r="A322" s="1" t="s">
        <v>958</v>
      </c>
    </row>
    <row r="323" spans="1:8" x14ac:dyDescent="0.2">
      <c r="A323" s="1" t="s">
        <v>959</v>
      </c>
    </row>
    <row r="324" spans="1:8" x14ac:dyDescent="0.2">
      <c r="A324" s="1" t="s">
        <v>960</v>
      </c>
    </row>
    <row r="326" spans="1:8" x14ac:dyDescent="0.2">
      <c r="G326"/>
    </row>
    <row r="327" spans="1:8" x14ac:dyDescent="0.2">
      <c r="G327"/>
    </row>
    <row r="328" spans="1:8" x14ac:dyDescent="0.2">
      <c r="G328"/>
    </row>
    <row r="329" spans="1:8" x14ac:dyDescent="0.2">
      <c r="G329"/>
    </row>
    <row r="330" spans="1:8" x14ac:dyDescent="0.2">
      <c r="G330"/>
    </row>
    <row r="331" spans="1:8" x14ac:dyDescent="0.2">
      <c r="G331"/>
    </row>
    <row r="332" spans="1:8" x14ac:dyDescent="0.2">
      <c r="G332"/>
    </row>
    <row r="333" spans="1:8" x14ac:dyDescent="0.2">
      <c r="B333" s="12">
        <f>120-22</f>
        <v>98</v>
      </c>
      <c r="F333" s="12">
        <v>23</v>
      </c>
      <c r="G333"/>
      <c r="H333" s="12">
        <v>0</v>
      </c>
    </row>
    <row r="334" spans="1:8" x14ac:dyDescent="0.2">
      <c r="B334" s="12"/>
      <c r="G334"/>
      <c r="H334" s="12"/>
    </row>
    <row r="335" spans="1:8" x14ac:dyDescent="0.2">
      <c r="B335" s="12" t="s">
        <v>963</v>
      </c>
      <c r="F335" s="12" t="s">
        <v>962</v>
      </c>
      <c r="G335"/>
      <c r="H335" s="12" t="s">
        <v>961</v>
      </c>
    </row>
    <row r="336" spans="1:8" x14ac:dyDescent="0.2">
      <c r="B336" s="12"/>
      <c r="G336"/>
    </row>
    <row r="337" spans="1:9" x14ac:dyDescent="0.2">
      <c r="G337"/>
    </row>
    <row r="338" spans="1:9" x14ac:dyDescent="0.2">
      <c r="C338" s="12">
        <f>75*12</f>
        <v>900</v>
      </c>
      <c r="D338" s="1" t="s">
        <v>45</v>
      </c>
      <c r="G338" s="137">
        <f>23*12</f>
        <v>276</v>
      </c>
      <c r="H338" s="1" t="s">
        <v>45</v>
      </c>
    </row>
    <row r="339" spans="1:9" x14ac:dyDescent="0.2">
      <c r="C339" s="12">
        <v>0.8</v>
      </c>
      <c r="D339" s="1" t="s">
        <v>42</v>
      </c>
      <c r="G339" s="137">
        <v>0.8</v>
      </c>
      <c r="H339" s="1" t="s">
        <v>42</v>
      </c>
    </row>
    <row r="340" spans="1:9" x14ac:dyDescent="0.2">
      <c r="C340" s="12">
        <v>15000</v>
      </c>
      <c r="D340" s="1" t="s">
        <v>47</v>
      </c>
      <c r="F340" s="33" t="s">
        <v>39</v>
      </c>
      <c r="G340" s="139">
        <f>PMT(G339/100,G338,G341,G342)</f>
        <v>-1869.3697333652638</v>
      </c>
      <c r="H340" s="1" t="s">
        <v>47</v>
      </c>
      <c r="I340" s="1" t="s">
        <v>964</v>
      </c>
    </row>
    <row r="341" spans="1:9" x14ac:dyDescent="0.2">
      <c r="C341" s="42">
        <f>PV(C339/100,C338,C340,C342)</f>
        <v>-1873559.4697800055</v>
      </c>
      <c r="D341" s="1" t="s">
        <v>39</v>
      </c>
      <c r="G341" s="137">
        <v>0</v>
      </c>
      <c r="H341" s="1" t="s">
        <v>39</v>
      </c>
    </row>
    <row r="342" spans="1:9" x14ac:dyDescent="0.2">
      <c r="C342" s="12">
        <v>0</v>
      </c>
      <c r="D342" s="1" t="s">
        <v>50</v>
      </c>
      <c r="G342" s="138">
        <f>-C341</f>
        <v>1873559.4697800055</v>
      </c>
      <c r="H342" s="1" t="s">
        <v>50</v>
      </c>
    </row>
    <row r="343" spans="1:9" x14ac:dyDescent="0.2">
      <c r="G343"/>
    </row>
    <row r="344" spans="1:9" x14ac:dyDescent="0.2">
      <c r="G344"/>
    </row>
    <row r="345" spans="1:9" x14ac:dyDescent="0.2">
      <c r="A345" s="1" t="s">
        <v>965</v>
      </c>
      <c r="G345"/>
    </row>
    <row r="346" spans="1:9" x14ac:dyDescent="0.2">
      <c r="A346" s="1" t="s">
        <v>966</v>
      </c>
      <c r="G346"/>
    </row>
    <row r="347" spans="1:9" x14ac:dyDescent="0.2">
      <c r="A347" s="1" t="s">
        <v>967</v>
      </c>
      <c r="G347"/>
    </row>
    <row r="348" spans="1:9" x14ac:dyDescent="0.2">
      <c r="G348"/>
    </row>
    <row r="349" spans="1:9" x14ac:dyDescent="0.2">
      <c r="G349"/>
    </row>
    <row r="350" spans="1:9" x14ac:dyDescent="0.2">
      <c r="G350"/>
    </row>
    <row r="351" spans="1:9" x14ac:dyDescent="0.2">
      <c r="G351"/>
    </row>
    <row r="352" spans="1:9" x14ac:dyDescent="0.2">
      <c r="G352"/>
    </row>
    <row r="353" spans="7:7" x14ac:dyDescent="0.2">
      <c r="G353"/>
    </row>
    <row r="354" spans="7:7" x14ac:dyDescent="0.2">
      <c r="G354"/>
    </row>
    <row r="355" spans="7:7" x14ac:dyDescent="0.2">
      <c r="G355"/>
    </row>
    <row r="356" spans="7:7" x14ac:dyDescent="0.2">
      <c r="G356"/>
    </row>
    <row r="357" spans="7:7" x14ac:dyDescent="0.2">
      <c r="G357"/>
    </row>
    <row r="358" spans="7:7" x14ac:dyDescent="0.2">
      <c r="G358"/>
    </row>
    <row r="359" spans="7:7" x14ac:dyDescent="0.2">
      <c r="G359"/>
    </row>
    <row r="360" spans="7:7" x14ac:dyDescent="0.2">
      <c r="G360"/>
    </row>
    <row r="361" spans="7:7" x14ac:dyDescent="0.2">
      <c r="G361"/>
    </row>
    <row r="362" spans="7:7" x14ac:dyDescent="0.2">
      <c r="G362"/>
    </row>
    <row r="363" spans="7:7" x14ac:dyDescent="0.2">
      <c r="G363"/>
    </row>
    <row r="364" spans="7:7" x14ac:dyDescent="0.2">
      <c r="G364"/>
    </row>
    <row r="365" spans="7:7" x14ac:dyDescent="0.2">
      <c r="G365"/>
    </row>
    <row r="366" spans="7:7" x14ac:dyDescent="0.2">
      <c r="G366"/>
    </row>
    <row r="367" spans="7:7" x14ac:dyDescent="0.2">
      <c r="G367"/>
    </row>
    <row r="368" spans="7:7" x14ac:dyDescent="0.2">
      <c r="G368"/>
    </row>
    <row r="369" spans="7:7" x14ac:dyDescent="0.2">
      <c r="G369"/>
    </row>
    <row r="370" spans="7:7" x14ac:dyDescent="0.2">
      <c r="G370"/>
    </row>
    <row r="371" spans="7:7" x14ac:dyDescent="0.2">
      <c r="G371"/>
    </row>
    <row r="372" spans="7:7" x14ac:dyDescent="0.2">
      <c r="G372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8A9B5F-0480-1549-BF37-A39E03338A40}">
  <dimension ref="A1:J182"/>
  <sheetViews>
    <sheetView rightToLeft="1" zoomScale="400" zoomScaleNormal="370" workbookViewId="0">
      <selection sqref="A1:XFD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29" t="s">
        <v>968</v>
      </c>
      <c r="B1" s="29"/>
      <c r="C1" s="29"/>
      <c r="D1" s="29"/>
      <c r="E1" s="29"/>
      <c r="F1" s="29"/>
      <c r="G1" s="29"/>
      <c r="H1" s="140">
        <v>45648</v>
      </c>
    </row>
    <row r="3" spans="1:8" x14ac:dyDescent="0.2">
      <c r="A3" s="2" t="s">
        <v>451</v>
      </c>
    </row>
    <row r="4" spans="1:8" x14ac:dyDescent="0.2">
      <c r="A4" s="1" t="s">
        <v>969</v>
      </c>
    </row>
    <row r="5" spans="1:8" x14ac:dyDescent="0.2">
      <c r="A5" s="1" t="s">
        <v>970</v>
      </c>
    </row>
    <row r="7" spans="1:8" x14ac:dyDescent="0.2">
      <c r="A7" s="2" t="s">
        <v>675</v>
      </c>
    </row>
    <row r="8" spans="1:8" x14ac:dyDescent="0.2">
      <c r="A8" s="1" t="s">
        <v>971</v>
      </c>
    </row>
    <row r="9" spans="1:8" x14ac:dyDescent="0.2">
      <c r="A9" s="1" t="s">
        <v>972</v>
      </c>
    </row>
    <row r="10" spans="1:8" ht="17" thickBot="1" x14ac:dyDescent="0.25"/>
    <row r="11" spans="1:8" ht="17" thickBot="1" x14ac:dyDescent="0.25">
      <c r="A11" s="3" t="s">
        <v>973</v>
      </c>
      <c r="B11" s="6"/>
      <c r="C11" s="6"/>
      <c r="D11" s="6"/>
      <c r="E11" s="6"/>
      <c r="F11" s="6"/>
      <c r="G11" s="6"/>
      <c r="H11" s="7"/>
    </row>
    <row r="12" spans="1:8" x14ac:dyDescent="0.2">
      <c r="A12" s="1" t="s">
        <v>974</v>
      </c>
    </row>
    <row r="13" spans="1:8" x14ac:dyDescent="0.2">
      <c r="A13" s="1" t="s">
        <v>975</v>
      </c>
    </row>
    <row r="14" spans="1:8" x14ac:dyDescent="0.2">
      <c r="A14" s="1" t="s">
        <v>976</v>
      </c>
    </row>
    <row r="15" spans="1:8" x14ac:dyDescent="0.2">
      <c r="A15" s="1" t="s">
        <v>977</v>
      </c>
    </row>
    <row r="16" spans="1:8" x14ac:dyDescent="0.2">
      <c r="A16" s="1" t="s">
        <v>978</v>
      </c>
    </row>
    <row r="17" spans="1:8" x14ac:dyDescent="0.2">
      <c r="A17" s="1" t="s">
        <v>979</v>
      </c>
    </row>
    <row r="22" spans="1:8" x14ac:dyDescent="0.2">
      <c r="G22" s="1" t="s">
        <v>983</v>
      </c>
    </row>
    <row r="23" spans="1:8" x14ac:dyDescent="0.2">
      <c r="G23" s="1" t="s">
        <v>980</v>
      </c>
    </row>
    <row r="24" spans="1:8" x14ac:dyDescent="0.2">
      <c r="G24" s="1" t="s">
        <v>981</v>
      </c>
    </row>
    <row r="25" spans="1:8" x14ac:dyDescent="0.2">
      <c r="G25" s="1" t="s">
        <v>982</v>
      </c>
    </row>
    <row r="28" spans="1:8" ht="17" thickBot="1" x14ac:dyDescent="0.25"/>
    <row r="29" spans="1:8" ht="17" thickBot="1" x14ac:dyDescent="0.25">
      <c r="A29" s="3" t="s">
        <v>984</v>
      </c>
      <c r="B29" s="6"/>
      <c r="C29" s="6"/>
      <c r="D29" s="6"/>
      <c r="E29" s="6"/>
      <c r="F29" s="6"/>
      <c r="G29" s="6"/>
      <c r="H29" s="7"/>
    </row>
    <row r="30" spans="1:8" x14ac:dyDescent="0.2">
      <c r="A30" s="1" t="s">
        <v>985</v>
      </c>
    </row>
    <row r="32" spans="1:8" x14ac:dyDescent="0.2">
      <c r="A32" s="1" t="s">
        <v>986</v>
      </c>
    </row>
    <row r="33" spans="1:8" x14ac:dyDescent="0.2">
      <c r="A33" s="1" t="s">
        <v>987</v>
      </c>
    </row>
    <row r="34" spans="1:8" ht="17" thickBot="1" x14ac:dyDescent="0.25"/>
    <row r="35" spans="1:8" ht="17" thickBot="1" x14ac:dyDescent="0.25">
      <c r="A35" s="3" t="s">
        <v>1039</v>
      </c>
      <c r="B35" s="4"/>
      <c r="C35" s="4"/>
      <c r="D35" s="4"/>
      <c r="E35" s="4"/>
      <c r="F35" s="4"/>
      <c r="G35" s="4"/>
      <c r="H35" s="5"/>
    </row>
    <row r="36" spans="1:8" x14ac:dyDescent="0.2">
      <c r="A36" s="1" t="s">
        <v>988</v>
      </c>
    </row>
    <row r="37" spans="1:8" x14ac:dyDescent="0.2">
      <c r="A37" s="1" t="s">
        <v>996</v>
      </c>
    </row>
    <row r="38" spans="1:8" ht="17" thickBot="1" x14ac:dyDescent="0.25">
      <c r="A38" s="1" t="s">
        <v>719</v>
      </c>
    </row>
    <row r="39" spans="1:8" x14ac:dyDescent="0.2">
      <c r="A39" s="1" t="s">
        <v>989</v>
      </c>
      <c r="E39" s="238" t="s">
        <v>991</v>
      </c>
      <c r="F39" s="239"/>
      <c r="G39" s="239"/>
      <c r="H39" s="240"/>
    </row>
    <row r="40" spans="1:8" ht="17" thickBot="1" x14ac:dyDescent="0.25">
      <c r="A40" s="1" t="s">
        <v>990</v>
      </c>
      <c r="E40" s="241"/>
      <c r="F40" s="242"/>
      <c r="G40" s="242"/>
      <c r="H40" s="243"/>
    </row>
    <row r="42" spans="1:8" x14ac:dyDescent="0.2">
      <c r="A42" s="1" t="s">
        <v>993</v>
      </c>
    </row>
    <row r="43" spans="1:8" x14ac:dyDescent="0.2">
      <c r="B43" s="1" t="s">
        <v>994</v>
      </c>
    </row>
    <row r="44" spans="1:8" x14ac:dyDescent="0.2">
      <c r="B44" s="1" t="s">
        <v>995</v>
      </c>
      <c r="D44" s="12" t="s">
        <v>408</v>
      </c>
      <c r="E44" s="12"/>
      <c r="F44" s="12"/>
      <c r="G44" s="12"/>
      <c r="H44" s="12" t="s">
        <v>992</v>
      </c>
    </row>
    <row r="45" spans="1:8" x14ac:dyDescent="0.2">
      <c r="B45" s="12"/>
      <c r="C45" s="12"/>
      <c r="D45" s="12">
        <v>1</v>
      </c>
      <c r="E45" s="12">
        <v>0.75</v>
      </c>
      <c r="F45" s="12">
        <v>0.5</v>
      </c>
      <c r="G45" s="12">
        <v>0.25</v>
      </c>
      <c r="H45" s="12">
        <v>0</v>
      </c>
    </row>
    <row r="46" spans="1:8" x14ac:dyDescent="0.2">
      <c r="B46" s="12"/>
      <c r="C46" s="12" t="s">
        <v>997</v>
      </c>
      <c r="D46" s="12"/>
      <c r="E46" s="12"/>
      <c r="F46" s="12"/>
      <c r="G46" s="12"/>
      <c r="H46" s="12"/>
    </row>
    <row r="47" spans="1:8" x14ac:dyDescent="0.2">
      <c r="B47" s="12"/>
      <c r="C47" s="12"/>
      <c r="D47" s="12"/>
      <c r="E47" s="12"/>
      <c r="F47" s="12"/>
      <c r="G47" s="12"/>
      <c r="H47" s="12">
        <v>100</v>
      </c>
    </row>
    <row r="48" spans="1:8" x14ac:dyDescent="0.2">
      <c r="B48" s="12"/>
      <c r="C48" s="12"/>
      <c r="D48" s="12"/>
      <c r="E48" s="12"/>
      <c r="F48" s="12"/>
      <c r="G48" s="12"/>
      <c r="H48" s="12"/>
    </row>
    <row r="51" spans="1:8" x14ac:dyDescent="0.2">
      <c r="A51" s="1" t="s">
        <v>998</v>
      </c>
    </row>
    <row r="52" spans="1:8" x14ac:dyDescent="0.2">
      <c r="A52" s="1" t="s">
        <v>999</v>
      </c>
    </row>
    <row r="53" spans="1:8" x14ac:dyDescent="0.2">
      <c r="A53" s="1" t="s">
        <v>1002</v>
      </c>
    </row>
    <row r="55" spans="1:8" x14ac:dyDescent="0.2">
      <c r="A55" s="1" t="s">
        <v>1000</v>
      </c>
    </row>
    <row r="56" spans="1:8" x14ac:dyDescent="0.2">
      <c r="A56" s="1" t="s">
        <v>1001</v>
      </c>
      <c r="H56" s="1" t="s">
        <v>1003</v>
      </c>
    </row>
    <row r="58" spans="1:8" x14ac:dyDescent="0.2">
      <c r="A58" s="1" t="s">
        <v>1004</v>
      </c>
    </row>
    <row r="59" spans="1:8" x14ac:dyDescent="0.2">
      <c r="A59" s="1" t="s">
        <v>1005</v>
      </c>
    </row>
    <row r="61" spans="1:8" x14ac:dyDescent="0.2">
      <c r="A61" s="1" t="s">
        <v>1006</v>
      </c>
      <c r="F61" s="1">
        <v>110.3812891</v>
      </c>
      <c r="H61" s="1" t="s">
        <v>1007</v>
      </c>
    </row>
    <row r="63" spans="1:8" x14ac:dyDescent="0.2">
      <c r="A63" s="1" t="s">
        <v>1008</v>
      </c>
      <c r="E63" s="1" t="s">
        <v>1009</v>
      </c>
      <c r="F63" s="1">
        <f>F61</f>
        <v>110.3812891</v>
      </c>
    </row>
    <row r="64" spans="1:8" x14ac:dyDescent="0.2">
      <c r="E64" s="1" t="s">
        <v>1010</v>
      </c>
      <c r="F64" s="1">
        <v>100</v>
      </c>
    </row>
    <row r="65" spans="1:8" x14ac:dyDescent="0.2">
      <c r="E65" s="1" t="s">
        <v>1011</v>
      </c>
      <c r="F65" s="1">
        <f>F63-F64</f>
        <v>10.381289100000004</v>
      </c>
      <c r="H65" s="1" t="s">
        <v>1012</v>
      </c>
    </row>
    <row r="67" spans="1:8" x14ac:dyDescent="0.2">
      <c r="A67" s="1" t="s">
        <v>1013</v>
      </c>
      <c r="F67" s="143">
        <f>F65/F64</f>
        <v>0.10381289100000003</v>
      </c>
      <c r="H67" s="1" t="s">
        <v>1014</v>
      </c>
    </row>
    <row r="69" spans="1:8" x14ac:dyDescent="0.2">
      <c r="A69" s="1" t="s">
        <v>1015</v>
      </c>
    </row>
    <row r="72" spans="1:8" x14ac:dyDescent="0.2">
      <c r="A72" s="2" t="s">
        <v>1016</v>
      </c>
    </row>
    <row r="74" spans="1:8" x14ac:dyDescent="0.2">
      <c r="D74" s="1" t="s">
        <v>1019</v>
      </c>
      <c r="F74" s="1" t="s">
        <v>1018</v>
      </c>
    </row>
    <row r="75" spans="1:8" x14ac:dyDescent="0.2">
      <c r="D75" s="1" t="s">
        <v>1020</v>
      </c>
      <c r="H75" s="1" t="s">
        <v>1017</v>
      </c>
    </row>
    <row r="77" spans="1:8" x14ac:dyDescent="0.2">
      <c r="B77" s="1" t="s">
        <v>1021</v>
      </c>
    </row>
    <row r="78" spans="1:8" x14ac:dyDescent="0.2">
      <c r="B78" s="1" t="s">
        <v>1022</v>
      </c>
    </row>
    <row r="80" spans="1:8" x14ac:dyDescent="0.2">
      <c r="E80" s="234" t="s">
        <v>1023</v>
      </c>
      <c r="F80" s="234"/>
    </row>
    <row r="82" spans="1:3" x14ac:dyDescent="0.2">
      <c r="B82" s="1" t="s">
        <v>1024</v>
      </c>
    </row>
    <row r="83" spans="1:3" x14ac:dyDescent="0.2">
      <c r="B83" s="1" t="s">
        <v>1025</v>
      </c>
    </row>
    <row r="86" spans="1:3" x14ac:dyDescent="0.2">
      <c r="B86" s="1" t="s">
        <v>1026</v>
      </c>
    </row>
    <row r="89" spans="1:3" x14ac:dyDescent="0.2">
      <c r="B89" s="1" t="s">
        <v>1027</v>
      </c>
    </row>
    <row r="92" spans="1:3" x14ac:dyDescent="0.2">
      <c r="B92" s="1" t="s">
        <v>993</v>
      </c>
    </row>
    <row r="93" spans="1:3" x14ac:dyDescent="0.2">
      <c r="A93" s="1" t="s">
        <v>1032</v>
      </c>
      <c r="C93" s="1" t="s">
        <v>1028</v>
      </c>
    </row>
    <row r="94" spans="1:3" x14ac:dyDescent="0.2">
      <c r="A94" s="1" t="s">
        <v>1033</v>
      </c>
      <c r="C94" s="1" t="s">
        <v>1029</v>
      </c>
    </row>
    <row r="95" spans="1:3" x14ac:dyDescent="0.2">
      <c r="C95" s="1" t="s">
        <v>1030</v>
      </c>
    </row>
    <row r="96" spans="1:3" x14ac:dyDescent="0.2">
      <c r="C96" s="1" t="s">
        <v>1031</v>
      </c>
    </row>
    <row r="103" spans="1:8" x14ac:dyDescent="0.2">
      <c r="F103" s="1" t="s">
        <v>1034</v>
      </c>
    </row>
    <row r="104" spans="1:8" x14ac:dyDescent="0.2">
      <c r="F104" s="1" t="s">
        <v>1035</v>
      </c>
    </row>
    <row r="105" spans="1:8" x14ac:dyDescent="0.2">
      <c r="F105" s="1" t="s">
        <v>1036</v>
      </c>
    </row>
    <row r="108" spans="1:8" x14ac:dyDescent="0.2">
      <c r="E108" s="1" t="s">
        <v>1034</v>
      </c>
    </row>
    <row r="109" spans="1:8" x14ac:dyDescent="0.2">
      <c r="E109" s="1" t="s">
        <v>1037</v>
      </c>
    </row>
    <row r="110" spans="1:8" x14ac:dyDescent="0.2">
      <c r="E110" s="1" t="s">
        <v>1038</v>
      </c>
    </row>
    <row r="111" spans="1:8" ht="17" thickBot="1" x14ac:dyDescent="0.25"/>
    <row r="112" spans="1:8" ht="17" thickBot="1" x14ac:dyDescent="0.25">
      <c r="A112" s="3" t="s">
        <v>1040</v>
      </c>
      <c r="B112" s="4"/>
      <c r="C112" s="4"/>
      <c r="D112" s="4"/>
      <c r="E112" s="4"/>
      <c r="F112" s="4"/>
      <c r="G112" s="4"/>
      <c r="H112" s="5"/>
    </row>
    <row r="113" spans="1:10" x14ac:dyDescent="0.2">
      <c r="A113" s="1" t="s">
        <v>1041</v>
      </c>
    </row>
    <row r="114" spans="1:10" x14ac:dyDescent="0.2">
      <c r="A114" s="1" t="s">
        <v>1042</v>
      </c>
      <c r="J114" s="1" t="s">
        <v>1043</v>
      </c>
    </row>
    <row r="115" spans="1:10" x14ac:dyDescent="0.2">
      <c r="A115" s="1" t="s">
        <v>1044</v>
      </c>
      <c r="H115" s="100">
        <f>(1+1%)^24-1</f>
        <v>0.26973464853191498</v>
      </c>
      <c r="J115" s="1" t="s">
        <v>1045</v>
      </c>
    </row>
    <row r="116" spans="1:10" x14ac:dyDescent="0.2">
      <c r="A116" s="1" t="s">
        <v>1046</v>
      </c>
      <c r="H116" s="100">
        <f>(1+10%/2)^3-1</f>
        <v>0.15762500000000013</v>
      </c>
      <c r="J116" s="1" t="s">
        <v>1051</v>
      </c>
    </row>
    <row r="117" spans="1:10" x14ac:dyDescent="0.2">
      <c r="A117" s="1" t="s">
        <v>1047</v>
      </c>
      <c r="H117" s="100">
        <f>(1+3%)^4-1</f>
        <v>0.12550880999999992</v>
      </c>
      <c r="J117" s="1" t="s">
        <v>1050</v>
      </c>
    </row>
    <row r="118" spans="1:10" x14ac:dyDescent="0.2">
      <c r="A118" s="1" t="s">
        <v>1048</v>
      </c>
      <c r="H118" s="100">
        <f>(1+1%)^36-1</f>
        <v>0.43076878359158099</v>
      </c>
      <c r="J118" s="1" t="s">
        <v>1049</v>
      </c>
    </row>
    <row r="122" spans="1:10" x14ac:dyDescent="0.2">
      <c r="B122" s="1" t="s">
        <v>993</v>
      </c>
    </row>
    <row r="123" spans="1:10" x14ac:dyDescent="0.2">
      <c r="A123" s="1" t="s">
        <v>1032</v>
      </c>
      <c r="C123" s="1" t="s">
        <v>1028</v>
      </c>
    </row>
    <row r="124" spans="1:10" x14ac:dyDescent="0.2">
      <c r="A124" s="1" t="s">
        <v>1033</v>
      </c>
      <c r="C124" s="1" t="s">
        <v>1029</v>
      </c>
    </row>
    <row r="125" spans="1:10" x14ac:dyDescent="0.2">
      <c r="C125" s="1" t="s">
        <v>1030</v>
      </c>
    </row>
    <row r="126" spans="1:10" x14ac:dyDescent="0.2">
      <c r="C126" s="1" t="s">
        <v>1031</v>
      </c>
    </row>
    <row r="127" spans="1:10" ht="17" thickBot="1" x14ac:dyDescent="0.25"/>
    <row r="128" spans="1:10" ht="17" thickBot="1" x14ac:dyDescent="0.25">
      <c r="A128" s="3" t="s">
        <v>1052</v>
      </c>
      <c r="B128" s="4"/>
      <c r="C128" s="4"/>
      <c r="D128" s="4"/>
      <c r="E128" s="4"/>
      <c r="F128" s="4"/>
      <c r="G128" s="4"/>
      <c r="H128" s="5"/>
    </row>
    <row r="129" spans="1:9" x14ac:dyDescent="0.2">
      <c r="A129" s="1" t="s">
        <v>1053</v>
      </c>
    </row>
    <row r="130" spans="1:9" x14ac:dyDescent="0.2">
      <c r="A130" s="1" t="s">
        <v>1058</v>
      </c>
      <c r="G130" s="142">
        <f>(1 + 10%/4)^4 - 1</f>
        <v>0.10381289062499977</v>
      </c>
      <c r="I130" s="1" t="s">
        <v>1061</v>
      </c>
    </row>
    <row r="131" spans="1:9" x14ac:dyDescent="0.2">
      <c r="A131" s="1" t="s">
        <v>1059</v>
      </c>
      <c r="G131" s="142">
        <f>(1 + 12%/12)^8 - 1</f>
        <v>8.2856705628080229E-2</v>
      </c>
      <c r="I131" s="1" t="s">
        <v>1062</v>
      </c>
    </row>
    <row r="132" spans="1:9" x14ac:dyDescent="0.2">
      <c r="A132" s="1" t="s">
        <v>1060</v>
      </c>
      <c r="G132" s="142">
        <f>(1 + 8%/4)^8 - 1</f>
        <v>0.17165938100226552</v>
      </c>
      <c r="I132" s="1" t="s">
        <v>1063</v>
      </c>
    </row>
    <row r="133" spans="1:9" x14ac:dyDescent="0.2">
      <c r="A133" s="1" t="s">
        <v>1064</v>
      </c>
      <c r="G133" s="142">
        <f>(1 + 6%/3)^24 - 1</f>
        <v>0.60843724947522504</v>
      </c>
      <c r="I133" s="1" t="s">
        <v>1065</v>
      </c>
    </row>
    <row r="135" spans="1:9" x14ac:dyDescent="0.2">
      <c r="A135" s="1" t="s">
        <v>1054</v>
      </c>
    </row>
    <row r="136" spans="1:9" x14ac:dyDescent="0.2">
      <c r="A136" s="1" t="s">
        <v>1055</v>
      </c>
    </row>
    <row r="137" spans="1:9" ht="17" thickBot="1" x14ac:dyDescent="0.25"/>
    <row r="138" spans="1:9" s="2" customFormat="1" ht="17" thickBot="1" x14ac:dyDescent="0.25">
      <c r="A138" s="3" t="s">
        <v>1056</v>
      </c>
      <c r="B138" s="4"/>
      <c r="C138" s="4"/>
      <c r="D138" s="4"/>
      <c r="E138" s="4"/>
      <c r="F138" s="4"/>
      <c r="G138" s="4"/>
      <c r="H138" s="5"/>
    </row>
    <row r="139" spans="1:9" x14ac:dyDescent="0.2">
      <c r="A139" s="1" t="s">
        <v>1057</v>
      </c>
    </row>
    <row r="140" spans="1:9" x14ac:dyDescent="0.2">
      <c r="A140" s="1" t="s">
        <v>1070</v>
      </c>
      <c r="G140" s="108">
        <f>(1+10%/4)^4-1</f>
        <v>0.10381289062499977</v>
      </c>
      <c r="I140" s="1" t="s">
        <v>1061</v>
      </c>
    </row>
    <row r="141" spans="1:9" x14ac:dyDescent="0.2">
      <c r="A141" s="1" t="s">
        <v>1071</v>
      </c>
      <c r="G141" s="141">
        <f>(1 + 11%/1)^1 - 1</f>
        <v>0.1100000000000001</v>
      </c>
      <c r="I141" s="1" t="s">
        <v>1072</v>
      </c>
    </row>
    <row r="142" spans="1:9" x14ac:dyDescent="0.2">
      <c r="A142" s="1" t="s">
        <v>1073</v>
      </c>
      <c r="G142" s="141">
        <f>(1 + 6%/6)^12 - 1</f>
        <v>0.12682503013196977</v>
      </c>
      <c r="I142" s="1" t="s">
        <v>1074</v>
      </c>
    </row>
    <row r="143" spans="1:9" x14ac:dyDescent="0.2">
      <c r="A143" s="1" t="s">
        <v>1075</v>
      </c>
      <c r="G143" s="141">
        <f>(1 + 3%/0.5)^2 - 1</f>
        <v>0.12360000000000015</v>
      </c>
      <c r="I143" s="1" t="s">
        <v>1076</v>
      </c>
    </row>
    <row r="145" spans="1:8" x14ac:dyDescent="0.2">
      <c r="A145" s="1" t="s">
        <v>1069</v>
      </c>
    </row>
    <row r="147" spans="1:8" x14ac:dyDescent="0.2">
      <c r="E147" s="1" t="s">
        <v>1032</v>
      </c>
      <c r="G147" s="1" t="s">
        <v>1028</v>
      </c>
    </row>
    <row r="148" spans="1:8" x14ac:dyDescent="0.2">
      <c r="E148" s="1" t="s">
        <v>1033</v>
      </c>
      <c r="G148" s="1" t="s">
        <v>1029</v>
      </c>
    </row>
    <row r="149" spans="1:8" x14ac:dyDescent="0.2">
      <c r="G149" s="1" t="s">
        <v>1030</v>
      </c>
    </row>
    <row r="150" spans="1:8" x14ac:dyDescent="0.2">
      <c r="G150" s="1" t="s">
        <v>1031</v>
      </c>
    </row>
    <row r="152" spans="1:8" x14ac:dyDescent="0.2">
      <c r="A152" s="1" t="s">
        <v>1066</v>
      </c>
    </row>
    <row r="153" spans="1:8" x14ac:dyDescent="0.2">
      <c r="A153" s="1" t="s">
        <v>1067</v>
      </c>
    </row>
    <row r="154" spans="1:8" x14ac:dyDescent="0.2">
      <c r="A154" s="1" t="s">
        <v>1068</v>
      </c>
    </row>
    <row r="155" spans="1:8" ht="17" thickBot="1" x14ac:dyDescent="0.25"/>
    <row r="156" spans="1:8" x14ac:dyDescent="0.2">
      <c r="A156" s="30" t="s">
        <v>1078</v>
      </c>
      <c r="B156" s="31"/>
      <c r="C156" s="31"/>
      <c r="D156" s="31"/>
      <c r="E156" s="31"/>
      <c r="F156" s="31"/>
      <c r="G156" s="31"/>
      <c r="H156" s="23"/>
    </row>
    <row r="157" spans="1:8" ht="17" thickBot="1" x14ac:dyDescent="0.25">
      <c r="A157" s="26" t="s">
        <v>1077</v>
      </c>
      <c r="B157" s="27"/>
      <c r="C157" s="27"/>
      <c r="D157" s="27"/>
      <c r="E157" s="27"/>
      <c r="F157" s="27"/>
      <c r="G157" s="27"/>
      <c r="H157" s="28"/>
    </row>
    <row r="158" spans="1:8" ht="17" thickBot="1" x14ac:dyDescent="0.25"/>
    <row r="159" spans="1:8" s="2" customFormat="1" ht="17" thickBot="1" x14ac:dyDescent="0.25">
      <c r="A159" s="3" t="s">
        <v>1079</v>
      </c>
      <c r="B159" s="4"/>
      <c r="C159" s="4"/>
      <c r="D159" s="4"/>
      <c r="E159" s="4"/>
      <c r="F159" s="4"/>
      <c r="G159" s="4"/>
      <c r="H159" s="5"/>
    </row>
    <row r="160" spans="1:8" x14ac:dyDescent="0.2">
      <c r="A160" s="1" t="s">
        <v>1080</v>
      </c>
    </row>
    <row r="161" spans="1:8" x14ac:dyDescent="0.2">
      <c r="A161" s="1" t="s">
        <v>1081</v>
      </c>
    </row>
    <row r="162" spans="1:8" x14ac:dyDescent="0.2">
      <c r="A162" s="1" t="s">
        <v>1082</v>
      </c>
      <c r="F162" s="142">
        <f>(1 + 8%/2)^2 - 1</f>
        <v>8.1600000000000117E-2</v>
      </c>
      <c r="G162" s="141"/>
      <c r="H162" s="1" t="s">
        <v>1087</v>
      </c>
    </row>
    <row r="163" spans="1:8" x14ac:dyDescent="0.2">
      <c r="A163" s="1" t="s">
        <v>1084</v>
      </c>
      <c r="F163" s="142">
        <f>(1 + 21%/36)^12 - 1</f>
        <v>7.2290080856235894E-2</v>
      </c>
      <c r="G163" s="141"/>
      <c r="H163" s="1" t="s">
        <v>1088</v>
      </c>
    </row>
    <row r="164" spans="1:8" x14ac:dyDescent="0.2">
      <c r="A164" s="1" t="s">
        <v>1085</v>
      </c>
      <c r="F164" s="142">
        <f>(1 + 4%/3)^6 - 1</f>
        <v>8.2714550682162491E-2</v>
      </c>
      <c r="G164" s="141"/>
      <c r="H164" s="1" t="s">
        <v>1089</v>
      </c>
    </row>
    <row r="165" spans="1:8" x14ac:dyDescent="0.2">
      <c r="A165" s="1" t="s">
        <v>1086</v>
      </c>
      <c r="F165" s="142">
        <f>(1 + 15%/8)^4 - 1</f>
        <v>7.713586578369136E-2</v>
      </c>
      <c r="H165" s="1" t="s">
        <v>1090</v>
      </c>
    </row>
    <row r="167" spans="1:8" x14ac:dyDescent="0.2">
      <c r="A167" s="1" t="s">
        <v>1083</v>
      </c>
    </row>
    <row r="169" spans="1:8" x14ac:dyDescent="0.2">
      <c r="A169" s="1" t="s">
        <v>1091</v>
      </c>
    </row>
    <row r="170" spans="1:8" x14ac:dyDescent="0.2">
      <c r="A170" s="1" t="s">
        <v>1092</v>
      </c>
    </row>
    <row r="171" spans="1:8" x14ac:dyDescent="0.2">
      <c r="A171" s="1" t="s">
        <v>1093</v>
      </c>
    </row>
    <row r="173" spans="1:8" x14ac:dyDescent="0.2">
      <c r="A173" s="2" t="s">
        <v>1094</v>
      </c>
    </row>
    <row r="176" spans="1:8" x14ac:dyDescent="0.2">
      <c r="A176" s="2" t="s">
        <v>155</v>
      </c>
    </row>
    <row r="177" spans="1:1" x14ac:dyDescent="0.2">
      <c r="A177" s="1" t="s">
        <v>1095</v>
      </c>
    </row>
    <row r="178" spans="1:1" x14ac:dyDescent="0.2">
      <c r="A178" s="1" t="s">
        <v>1096</v>
      </c>
    </row>
    <row r="179" spans="1:1" x14ac:dyDescent="0.2">
      <c r="A179" s="1" t="s">
        <v>1097</v>
      </c>
    </row>
    <row r="180" spans="1:1" x14ac:dyDescent="0.2">
      <c r="A180" s="1" t="s">
        <v>1098</v>
      </c>
    </row>
    <row r="181" spans="1:1" x14ac:dyDescent="0.2">
      <c r="A181" s="1" t="s">
        <v>1099</v>
      </c>
    </row>
    <row r="182" spans="1:1" x14ac:dyDescent="0.2">
      <c r="A182" s="1" t="s">
        <v>1100</v>
      </c>
    </row>
  </sheetData>
  <mergeCells count="2">
    <mergeCell ref="E39:H40"/>
    <mergeCell ref="E80:F80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7AC80B-0207-F14D-AE37-9BB2BE4D0CF7}">
  <dimension ref="A1:K186"/>
  <sheetViews>
    <sheetView rightToLeft="1" topLeftCell="A187" zoomScale="285" zoomScaleNormal="350" workbookViewId="0">
      <selection activeCell="G136" sqref="G136"/>
    </sheetView>
  </sheetViews>
  <sheetFormatPr baseColWidth="10" defaultRowHeight="16" x14ac:dyDescent="0.2"/>
  <cols>
    <col min="1" max="1" width="11.1640625" style="1" bestFit="1" customWidth="1"/>
    <col min="2" max="3" width="10.83203125" style="1"/>
    <col min="4" max="4" width="11.1640625" style="1" bestFit="1" customWidth="1"/>
    <col min="5" max="5" width="10.83203125" style="1"/>
    <col min="6" max="6" width="12" style="1" customWidth="1"/>
    <col min="7" max="7" width="11.6640625" style="1" bestFit="1" customWidth="1"/>
    <col min="8" max="16384" width="10.83203125" style="1"/>
  </cols>
  <sheetData>
    <row r="1" spans="1:8" x14ac:dyDescent="0.2">
      <c r="A1" s="29" t="s">
        <v>1128</v>
      </c>
      <c r="B1" s="29"/>
      <c r="C1" s="29"/>
      <c r="D1" s="29"/>
      <c r="E1" s="29"/>
      <c r="F1" s="29"/>
      <c r="G1" s="29"/>
      <c r="H1" s="140">
        <v>45655</v>
      </c>
    </row>
    <row r="2" spans="1:8" ht="17" thickBot="1" x14ac:dyDescent="0.25"/>
    <row r="3" spans="1:8" ht="17" thickBot="1" x14ac:dyDescent="0.25">
      <c r="A3" s="103" t="s">
        <v>1119</v>
      </c>
      <c r="B3" s="6"/>
      <c r="C3" s="6"/>
      <c r="D3" s="6"/>
      <c r="E3" s="6"/>
      <c r="F3" s="6"/>
      <c r="G3" s="6"/>
      <c r="H3" s="7"/>
    </row>
    <row r="5" spans="1:8" x14ac:dyDescent="0.2">
      <c r="A5" s="1" t="s">
        <v>1120</v>
      </c>
      <c r="B5" s="1" t="s">
        <v>1127</v>
      </c>
      <c r="F5" s="87">
        <v>45655</v>
      </c>
      <c r="G5" s="1" t="s">
        <v>1129</v>
      </c>
    </row>
    <row r="6" spans="1:8" x14ac:dyDescent="0.2">
      <c r="A6" s="1" t="s">
        <v>1121</v>
      </c>
      <c r="B6" s="1" t="s">
        <v>1122</v>
      </c>
      <c r="F6" s="87">
        <v>45662</v>
      </c>
      <c r="G6" s="1" t="s">
        <v>1130</v>
      </c>
    </row>
    <row r="7" spans="1:8" x14ac:dyDescent="0.2">
      <c r="A7" s="1" t="s">
        <v>1123</v>
      </c>
      <c r="B7" s="1" t="s">
        <v>1131</v>
      </c>
      <c r="F7" s="87">
        <v>45669</v>
      </c>
      <c r="G7" s="1" t="s">
        <v>1124</v>
      </c>
    </row>
    <row r="8" spans="1:8" x14ac:dyDescent="0.2">
      <c r="A8" s="1" t="s">
        <v>1125</v>
      </c>
      <c r="B8" s="1" t="s">
        <v>1126</v>
      </c>
      <c r="F8" s="87">
        <v>45690</v>
      </c>
    </row>
    <row r="9" spans="1:8" ht="17" thickBot="1" x14ac:dyDescent="0.25"/>
    <row r="10" spans="1:8" ht="17" thickBot="1" x14ac:dyDescent="0.25">
      <c r="A10" s="103" t="s">
        <v>1132</v>
      </c>
      <c r="B10" s="6"/>
      <c r="C10" s="6"/>
      <c r="D10" s="6"/>
      <c r="E10" s="6"/>
      <c r="F10" s="6"/>
      <c r="G10" s="6"/>
      <c r="H10" s="7"/>
    </row>
    <row r="12" spans="1:8" x14ac:dyDescent="0.2">
      <c r="A12" s="1" t="s">
        <v>1133</v>
      </c>
    </row>
    <row r="13" spans="1:8" x14ac:dyDescent="0.2">
      <c r="A13" s="1" t="s">
        <v>1134</v>
      </c>
    </row>
    <row r="14" spans="1:8" x14ac:dyDescent="0.2">
      <c r="A14" s="1" t="s">
        <v>1135</v>
      </c>
    </row>
    <row r="15" spans="1:8" x14ac:dyDescent="0.2">
      <c r="A15" s="1" t="s">
        <v>1136</v>
      </c>
    </row>
    <row r="16" spans="1:8" x14ac:dyDescent="0.2">
      <c r="A16" s="1" t="s">
        <v>1137</v>
      </c>
    </row>
    <row r="18" spans="1:8" x14ac:dyDescent="0.2">
      <c r="A18" s="1" t="s">
        <v>1138</v>
      </c>
    </row>
    <row r="19" spans="1:8" x14ac:dyDescent="0.2">
      <c r="A19" s="1" t="s">
        <v>1139</v>
      </c>
    </row>
    <row r="20" spans="1:8" x14ac:dyDescent="0.2">
      <c r="A20" s="1" t="s">
        <v>1140</v>
      </c>
    </row>
    <row r="21" spans="1:8" ht="17" thickBot="1" x14ac:dyDescent="0.25"/>
    <row r="22" spans="1:8" ht="17" thickBot="1" x14ac:dyDescent="0.25">
      <c r="A22" s="103" t="s">
        <v>1141</v>
      </c>
      <c r="B22" s="6"/>
      <c r="C22" s="6"/>
      <c r="D22" s="6"/>
      <c r="E22" s="6"/>
      <c r="F22" s="6"/>
      <c r="G22" s="6"/>
      <c r="H22" s="7"/>
    </row>
    <row r="23" spans="1:8" x14ac:dyDescent="0.2">
      <c r="A23" s="1" t="s">
        <v>1142</v>
      </c>
    </row>
    <row r="24" spans="1:8" x14ac:dyDescent="0.2">
      <c r="A24" s="1" t="s">
        <v>1143</v>
      </c>
    </row>
    <row r="25" spans="1:8" x14ac:dyDescent="0.2">
      <c r="A25" s="1" t="s">
        <v>1144</v>
      </c>
    </row>
    <row r="26" spans="1:8" x14ac:dyDescent="0.2">
      <c r="A26" s="1" t="s">
        <v>1145</v>
      </c>
    </row>
    <row r="27" spans="1:8" x14ac:dyDescent="0.2">
      <c r="A27" s="1" t="s">
        <v>1146</v>
      </c>
    </row>
    <row r="28" spans="1:8" x14ac:dyDescent="0.2">
      <c r="A28" s="1" t="s">
        <v>1147</v>
      </c>
    </row>
    <row r="30" spans="1:8" x14ac:dyDescent="0.2">
      <c r="A30" s="244" t="s">
        <v>1148</v>
      </c>
      <c r="B30" s="244"/>
      <c r="C30" s="244"/>
      <c r="D30" s="244"/>
      <c r="E30" s="245" t="s">
        <v>1152</v>
      </c>
      <c r="F30" s="245"/>
      <c r="G30" s="245"/>
      <c r="H30" s="245"/>
    </row>
    <row r="31" spans="1:8" x14ac:dyDescent="0.2">
      <c r="A31" s="146" t="s">
        <v>1149</v>
      </c>
      <c r="B31" s="146" t="s">
        <v>1150</v>
      </c>
      <c r="C31" s="146" t="s">
        <v>1151</v>
      </c>
      <c r="D31" s="146" t="s">
        <v>1172</v>
      </c>
      <c r="E31" s="146" t="s">
        <v>1149</v>
      </c>
      <c r="F31" s="146" t="s">
        <v>1150</v>
      </c>
      <c r="G31" s="146" t="s">
        <v>1151</v>
      </c>
      <c r="H31" s="146" t="s">
        <v>1172</v>
      </c>
    </row>
    <row r="32" spans="1:8" x14ac:dyDescent="0.2">
      <c r="A32" s="146">
        <v>0</v>
      </c>
      <c r="B32" s="147"/>
      <c r="C32" s="147"/>
      <c r="D32" s="148">
        <v>400000</v>
      </c>
      <c r="E32" s="146">
        <v>0</v>
      </c>
      <c r="F32" s="147"/>
      <c r="G32" s="147"/>
      <c r="H32" s="148">
        <v>400000</v>
      </c>
    </row>
    <row r="33" spans="1:9" x14ac:dyDescent="0.2">
      <c r="A33" s="146">
        <v>1</v>
      </c>
      <c r="B33" s="148">
        <f>400000/5</f>
        <v>80000</v>
      </c>
      <c r="C33" s="148">
        <f>10%*400000</f>
        <v>40000</v>
      </c>
      <c r="D33" s="148">
        <f>400000-80000</f>
        <v>320000</v>
      </c>
      <c r="E33" s="146">
        <v>1</v>
      </c>
      <c r="F33" s="148">
        <f>-G51-40000</f>
        <v>65518.992317898155</v>
      </c>
      <c r="G33" s="148">
        <f>400000*10%</f>
        <v>40000</v>
      </c>
      <c r="H33" s="148">
        <f>H32-F33</f>
        <v>334481.00768210186</v>
      </c>
    </row>
    <row r="34" spans="1:9" x14ac:dyDescent="0.2">
      <c r="A34" s="146">
        <v>2</v>
      </c>
      <c r="B34" s="148">
        <f>B33</f>
        <v>80000</v>
      </c>
      <c r="C34" s="148">
        <f>10%*D33</f>
        <v>32000</v>
      </c>
      <c r="D34" s="148">
        <f>320000-80000</f>
        <v>240000</v>
      </c>
      <c r="E34" s="146">
        <v>2</v>
      </c>
      <c r="F34" s="148">
        <f>-G51-G34</f>
        <v>72070.891549687978</v>
      </c>
      <c r="G34" s="148">
        <f>H33*10%</f>
        <v>33448.100768210184</v>
      </c>
      <c r="H34" s="148">
        <f>H33-F34</f>
        <v>262410.11613241385</v>
      </c>
    </row>
    <row r="35" spans="1:9" x14ac:dyDescent="0.2">
      <c r="A35" s="146">
        <v>3</v>
      </c>
      <c r="B35" s="148">
        <f>B34</f>
        <v>80000</v>
      </c>
      <c r="C35" s="148">
        <f t="shared" ref="C35:C37" si="0">10%*D34</f>
        <v>24000</v>
      </c>
      <c r="D35" s="148">
        <f>D34-B35</f>
        <v>160000</v>
      </c>
      <c r="E35" s="146">
        <v>3</v>
      </c>
      <c r="F35" s="148">
        <f>-G51-G35</f>
        <v>79277.980704656773</v>
      </c>
      <c r="G35" s="148">
        <f>10%*H34</f>
        <v>26241.011613241386</v>
      </c>
      <c r="H35" s="148">
        <f>H34-F35</f>
        <v>183132.13542775708</v>
      </c>
    </row>
    <row r="36" spans="1:9" x14ac:dyDescent="0.2">
      <c r="A36" s="146">
        <v>4</v>
      </c>
      <c r="B36" s="148">
        <f>B35</f>
        <v>80000</v>
      </c>
      <c r="C36" s="148">
        <f t="shared" si="0"/>
        <v>16000</v>
      </c>
      <c r="D36" s="148">
        <f>D35-B36</f>
        <v>80000</v>
      </c>
      <c r="E36" s="146">
        <v>4</v>
      </c>
      <c r="F36" s="148">
        <f>-G51-G36</f>
        <v>87205.778775122453</v>
      </c>
      <c r="G36" s="148">
        <f>10%*H35</f>
        <v>18313.213542775709</v>
      </c>
      <c r="H36" s="148">
        <f t="shared" ref="H36:H37" si="1">H35-F36</f>
        <v>95926.356652634626</v>
      </c>
    </row>
    <row r="37" spans="1:9" x14ac:dyDescent="0.2">
      <c r="A37" s="146">
        <v>5</v>
      </c>
      <c r="B37" s="148">
        <f>B36</f>
        <v>80000</v>
      </c>
      <c r="C37" s="148">
        <f t="shared" si="0"/>
        <v>8000</v>
      </c>
      <c r="D37" s="148">
        <f>D36-B37</f>
        <v>0</v>
      </c>
      <c r="E37" s="146">
        <v>5</v>
      </c>
      <c r="F37" s="148">
        <f>-G51-G37</f>
        <v>95926.356652634699</v>
      </c>
      <c r="G37" s="148">
        <f>10%*H36</f>
        <v>9592.6356652634622</v>
      </c>
      <c r="H37" s="148">
        <f t="shared" si="1"/>
        <v>0</v>
      </c>
    </row>
    <row r="38" spans="1:9" x14ac:dyDescent="0.2">
      <c r="E38" s="149"/>
      <c r="F38" s="149"/>
      <c r="G38" s="149"/>
      <c r="H38" s="149"/>
      <c r="I38" s="149"/>
    </row>
    <row r="39" spans="1:9" x14ac:dyDescent="0.2">
      <c r="A39" s="149"/>
      <c r="B39" s="149"/>
      <c r="C39" s="149"/>
      <c r="D39" s="149"/>
      <c r="E39" s="149"/>
      <c r="F39" s="149"/>
      <c r="G39" s="149"/>
      <c r="H39" s="149"/>
      <c r="I39" s="149"/>
    </row>
    <row r="40" spans="1:9" x14ac:dyDescent="0.2">
      <c r="A40" s="149"/>
      <c r="B40" s="149"/>
      <c r="C40" s="149"/>
      <c r="D40" s="149"/>
      <c r="E40" s="149"/>
      <c r="F40" s="149"/>
      <c r="G40" s="149"/>
      <c r="H40" s="149"/>
      <c r="I40" s="149"/>
    </row>
    <row r="41" spans="1:9" x14ac:dyDescent="0.2">
      <c r="A41" s="149"/>
      <c r="B41" s="149"/>
      <c r="C41" s="149"/>
      <c r="D41" s="149"/>
      <c r="E41" s="149"/>
      <c r="F41" s="149"/>
      <c r="G41" s="149"/>
      <c r="H41" s="149"/>
      <c r="I41" s="149"/>
    </row>
    <row r="42" spans="1:9" x14ac:dyDescent="0.2">
      <c r="A42" s="149"/>
      <c r="B42" s="149"/>
      <c r="C42" s="149"/>
      <c r="D42" s="149"/>
      <c r="E42" s="149"/>
      <c r="F42" s="149"/>
      <c r="G42" s="149"/>
      <c r="H42" s="149"/>
      <c r="I42" s="149"/>
    </row>
    <row r="43" spans="1:9" x14ac:dyDescent="0.2">
      <c r="A43" s="149"/>
      <c r="B43" s="149"/>
      <c r="C43" s="149"/>
      <c r="D43" s="149"/>
      <c r="E43" s="149"/>
      <c r="F43" s="149"/>
      <c r="G43" s="149"/>
      <c r="H43" s="149"/>
      <c r="I43" s="149"/>
    </row>
    <row r="44" spans="1:9" x14ac:dyDescent="0.2">
      <c r="A44" s="149"/>
      <c r="B44" s="149"/>
      <c r="C44" s="149"/>
      <c r="D44" s="149"/>
      <c r="E44" s="149"/>
      <c r="F44" s="149"/>
      <c r="G44" s="149"/>
      <c r="H44" s="149"/>
      <c r="I44" s="149"/>
    </row>
    <row r="46" spans="1:9" x14ac:dyDescent="0.2">
      <c r="A46" s="1" t="s">
        <v>1153</v>
      </c>
      <c r="D46" s="1" t="s">
        <v>1154</v>
      </c>
      <c r="F46" s="1" t="s">
        <v>1162</v>
      </c>
      <c r="H46" s="32" t="s">
        <v>177</v>
      </c>
    </row>
    <row r="47" spans="1:9" x14ac:dyDescent="0.2">
      <c r="A47" s="1" t="s">
        <v>1155</v>
      </c>
      <c r="G47" s="12" t="s">
        <v>179</v>
      </c>
      <c r="H47" s="1" t="s">
        <v>1163</v>
      </c>
    </row>
    <row r="48" spans="1:9" x14ac:dyDescent="0.2">
      <c r="A48" s="1" t="s">
        <v>1156</v>
      </c>
      <c r="G48" s="12">
        <v>5</v>
      </c>
      <c r="H48" s="1" t="s">
        <v>45</v>
      </c>
    </row>
    <row r="49" spans="1:9" x14ac:dyDescent="0.2">
      <c r="A49" s="1" t="s">
        <v>1157</v>
      </c>
      <c r="G49" s="12">
        <v>10</v>
      </c>
      <c r="H49" s="1" t="s">
        <v>42</v>
      </c>
    </row>
    <row r="50" spans="1:9" x14ac:dyDescent="0.2">
      <c r="B50" s="1" t="s">
        <v>1158</v>
      </c>
      <c r="D50" s="1" t="s">
        <v>1159</v>
      </c>
      <c r="G50" s="12">
        <v>400000</v>
      </c>
      <c r="H50" s="1" t="s">
        <v>39</v>
      </c>
    </row>
    <row r="51" spans="1:9" x14ac:dyDescent="0.2">
      <c r="B51" s="1" t="s">
        <v>1160</v>
      </c>
      <c r="D51" s="1" t="s">
        <v>1161</v>
      </c>
      <c r="G51" s="42">
        <f>PMT(G49/100,G48,G50,G52)</f>
        <v>-105518.99231789816</v>
      </c>
      <c r="H51" s="1" t="s">
        <v>47</v>
      </c>
      <c r="I51" s="1" t="s">
        <v>813</v>
      </c>
    </row>
    <row r="52" spans="1:9" x14ac:dyDescent="0.2">
      <c r="G52" s="12">
        <v>0</v>
      </c>
      <c r="H52" s="1" t="s">
        <v>50</v>
      </c>
    </row>
    <row r="53" spans="1:9" x14ac:dyDescent="0.2">
      <c r="F53" s="1" t="s">
        <v>1164</v>
      </c>
    </row>
    <row r="54" spans="1:9" x14ac:dyDescent="0.2">
      <c r="G54" s="1" t="s">
        <v>1165</v>
      </c>
    </row>
    <row r="55" spans="1:9" x14ac:dyDescent="0.2">
      <c r="G55" s="1" t="s">
        <v>1166</v>
      </c>
    </row>
    <row r="56" spans="1:9" x14ac:dyDescent="0.2">
      <c r="F56" s="1" t="s">
        <v>1167</v>
      </c>
    </row>
    <row r="57" spans="1:9" x14ac:dyDescent="0.2">
      <c r="G57" s="1" t="s">
        <v>1168</v>
      </c>
    </row>
    <row r="58" spans="1:9" x14ac:dyDescent="0.2">
      <c r="G58" s="1" t="s">
        <v>1169</v>
      </c>
    </row>
    <row r="60" spans="1:9" x14ac:dyDescent="0.2">
      <c r="F60" s="1" t="s">
        <v>1170</v>
      </c>
    </row>
    <row r="61" spans="1:9" x14ac:dyDescent="0.2">
      <c r="H61" s="1" t="s">
        <v>1171</v>
      </c>
    </row>
    <row r="63" spans="1:9" x14ac:dyDescent="0.2">
      <c r="F63" s="1" t="s">
        <v>1173</v>
      </c>
    </row>
    <row r="64" spans="1:9" x14ac:dyDescent="0.2">
      <c r="F64" s="1" t="s">
        <v>1174</v>
      </c>
    </row>
    <row r="65" spans="1:8" ht="17" thickBot="1" x14ac:dyDescent="0.25"/>
    <row r="66" spans="1:8" ht="17" thickBot="1" x14ac:dyDescent="0.25">
      <c r="A66" s="103" t="s">
        <v>1175</v>
      </c>
      <c r="B66" s="6"/>
      <c r="C66" s="6"/>
      <c r="D66" s="6"/>
      <c r="E66" s="6"/>
      <c r="F66" s="6"/>
      <c r="G66" s="6"/>
      <c r="H66" s="7"/>
    </row>
    <row r="67" spans="1:8" x14ac:dyDescent="0.2">
      <c r="A67" s="1" t="s">
        <v>1176</v>
      </c>
    </row>
    <row r="68" spans="1:8" x14ac:dyDescent="0.2">
      <c r="A68" s="1" t="s">
        <v>1177</v>
      </c>
    </row>
    <row r="69" spans="1:8" x14ac:dyDescent="0.2">
      <c r="A69" s="1" t="s">
        <v>1178</v>
      </c>
    </row>
    <row r="70" spans="1:8" x14ac:dyDescent="0.2">
      <c r="A70" s="1" t="s">
        <v>1179</v>
      </c>
    </row>
    <row r="71" spans="1:8" x14ac:dyDescent="0.2">
      <c r="A71" s="1" t="s">
        <v>1180</v>
      </c>
    </row>
    <row r="72" spans="1:8" x14ac:dyDescent="0.2">
      <c r="A72" s="1" t="s">
        <v>1181</v>
      </c>
    </row>
    <row r="73" spans="1:8" x14ac:dyDescent="0.2">
      <c r="A73" s="1" t="s">
        <v>1182</v>
      </c>
    </row>
    <row r="75" spans="1:8" x14ac:dyDescent="0.2">
      <c r="A75" s="1" t="s">
        <v>27</v>
      </c>
    </row>
    <row r="77" spans="1:8" x14ac:dyDescent="0.2">
      <c r="A77" s="1" t="s">
        <v>1183</v>
      </c>
      <c r="E77" s="1">
        <f>20*12</f>
        <v>240</v>
      </c>
      <c r="F77" s="33" t="s">
        <v>1184</v>
      </c>
    </row>
    <row r="78" spans="1:8" x14ac:dyDescent="0.2">
      <c r="A78" s="1" t="s">
        <v>1185</v>
      </c>
    </row>
    <row r="79" spans="1:8" x14ac:dyDescent="0.2">
      <c r="A79" s="1" t="s">
        <v>1186</v>
      </c>
    </row>
    <row r="80" spans="1:8" x14ac:dyDescent="0.2">
      <c r="A80" s="1" t="s">
        <v>1187</v>
      </c>
    </row>
    <row r="82" spans="1:11" x14ac:dyDescent="0.2">
      <c r="A82" s="2" t="s">
        <v>1179</v>
      </c>
    </row>
    <row r="84" spans="1:11" x14ac:dyDescent="0.2">
      <c r="A84" s="1" t="s">
        <v>1188</v>
      </c>
    </row>
    <row r="86" spans="1:11" x14ac:dyDescent="0.2">
      <c r="G86" s="32" t="s">
        <v>177</v>
      </c>
    </row>
    <row r="87" spans="1:11" x14ac:dyDescent="0.2">
      <c r="F87" s="12" t="s">
        <v>179</v>
      </c>
      <c r="G87" s="1" t="s">
        <v>178</v>
      </c>
    </row>
    <row r="88" spans="1:11" x14ac:dyDescent="0.2">
      <c r="A88" s="1" t="s">
        <v>1189</v>
      </c>
      <c r="F88" s="12">
        <v>240</v>
      </c>
      <c r="G88" s="1" t="s">
        <v>45</v>
      </c>
    </row>
    <row r="89" spans="1:11" x14ac:dyDescent="0.2">
      <c r="A89" s="1" t="s">
        <v>1190</v>
      </c>
      <c r="F89" s="12">
        <v>1</v>
      </c>
      <c r="G89" s="1" t="s">
        <v>42</v>
      </c>
    </row>
    <row r="90" spans="1:11" ht="17" thickBot="1" x14ac:dyDescent="0.25">
      <c r="A90" s="1" t="s">
        <v>1191</v>
      </c>
      <c r="F90" s="12">
        <v>500000</v>
      </c>
      <c r="G90" s="1" t="s">
        <v>39</v>
      </c>
    </row>
    <row r="91" spans="1:11" ht="17" thickBot="1" x14ac:dyDescent="0.25">
      <c r="A91" s="1" t="s">
        <v>1192</v>
      </c>
      <c r="F91" s="150">
        <f>PMT(F89/100,F88,F90,F92)</f>
        <v>-5505.4306678480489</v>
      </c>
      <c r="G91" s="1" t="s">
        <v>47</v>
      </c>
      <c r="H91" s="1" t="s">
        <v>813</v>
      </c>
    </row>
    <row r="92" spans="1:11" x14ac:dyDescent="0.2">
      <c r="F92" s="12">
        <v>0</v>
      </c>
      <c r="G92" s="1" t="s">
        <v>50</v>
      </c>
    </row>
    <row r="94" spans="1:11" x14ac:dyDescent="0.2">
      <c r="A94" s="2" t="s">
        <v>1180</v>
      </c>
    </row>
    <row r="96" spans="1:11" x14ac:dyDescent="0.2">
      <c r="A96" s="1" t="s">
        <v>1202</v>
      </c>
      <c r="I96" s="149"/>
      <c r="J96" s="149"/>
      <c r="K96" s="149"/>
    </row>
    <row r="97" spans="1:11" x14ac:dyDescent="0.2">
      <c r="A97" s="2" t="s">
        <v>1193</v>
      </c>
      <c r="I97" s="149"/>
      <c r="J97" s="149"/>
      <c r="K97" s="149"/>
    </row>
    <row r="98" spans="1:11" x14ac:dyDescent="0.2">
      <c r="I98" s="149"/>
      <c r="J98" s="149"/>
      <c r="K98" s="149"/>
    </row>
    <row r="99" spans="1:11" x14ac:dyDescent="0.2">
      <c r="G99" s="32" t="s">
        <v>1194</v>
      </c>
      <c r="I99" s="149"/>
      <c r="J99" s="149"/>
      <c r="K99" s="149"/>
    </row>
    <row r="100" spans="1:11" x14ac:dyDescent="0.2">
      <c r="A100" s="1" t="s">
        <v>1197</v>
      </c>
      <c r="F100" s="12">
        <v>168</v>
      </c>
      <c r="G100" s="12" t="s">
        <v>1195</v>
      </c>
      <c r="I100" s="149"/>
      <c r="J100" s="149"/>
      <c r="K100" s="149"/>
    </row>
    <row r="101" spans="1:11" x14ac:dyDescent="0.2">
      <c r="A101" s="1" t="s">
        <v>1198</v>
      </c>
      <c r="D101" s="1">
        <f>14*12</f>
        <v>168</v>
      </c>
      <c r="E101" s="1" t="s">
        <v>1199</v>
      </c>
      <c r="F101" s="12">
        <v>168</v>
      </c>
      <c r="G101" s="12" t="s">
        <v>1196</v>
      </c>
      <c r="I101" s="149"/>
      <c r="J101" s="149"/>
      <c r="K101" s="149"/>
    </row>
    <row r="102" spans="1:11" ht="17" thickBot="1" x14ac:dyDescent="0.25">
      <c r="I102" s="149"/>
      <c r="J102" s="149"/>
      <c r="K102" s="149"/>
    </row>
    <row r="103" spans="1:11" ht="17" thickBot="1" x14ac:dyDescent="0.25">
      <c r="A103" s="1" t="s">
        <v>1201</v>
      </c>
      <c r="F103" s="60">
        <v>281604</v>
      </c>
      <c r="G103" s="12" t="s">
        <v>1200</v>
      </c>
      <c r="H103" s="1" t="s">
        <v>51</v>
      </c>
      <c r="I103" s="149"/>
      <c r="J103" s="149"/>
      <c r="K103" s="149"/>
    </row>
    <row r="104" spans="1:11" x14ac:dyDescent="0.2">
      <c r="I104" s="149"/>
      <c r="J104" s="149"/>
      <c r="K104" s="149"/>
    </row>
    <row r="105" spans="1:11" x14ac:dyDescent="0.2">
      <c r="A105" s="2" t="s">
        <v>1181</v>
      </c>
      <c r="I105" s="149"/>
      <c r="J105" s="149"/>
      <c r="K105" s="149"/>
    </row>
    <row r="106" spans="1:11" x14ac:dyDescent="0.2">
      <c r="G106" s="32" t="s">
        <v>1194</v>
      </c>
      <c r="I106" s="149"/>
      <c r="J106" s="149"/>
      <c r="K106" s="149"/>
    </row>
    <row r="107" spans="1:11" x14ac:dyDescent="0.2">
      <c r="A107" s="1" t="s">
        <v>1204</v>
      </c>
      <c r="F107" s="12">
        <v>127</v>
      </c>
      <c r="G107" s="12" t="s">
        <v>1195</v>
      </c>
      <c r="I107" s="149"/>
      <c r="J107" s="149"/>
      <c r="K107" s="149"/>
    </row>
    <row r="108" spans="1:11" x14ac:dyDescent="0.2">
      <c r="F108" s="12">
        <v>127</v>
      </c>
      <c r="G108" s="12" t="s">
        <v>1196</v>
      </c>
      <c r="I108" s="149"/>
      <c r="J108" s="149"/>
      <c r="K108" s="149"/>
    </row>
    <row r="109" spans="1:11" ht="17" thickBot="1" x14ac:dyDescent="0.25">
      <c r="I109" s="149"/>
      <c r="J109" s="149"/>
      <c r="K109" s="149"/>
    </row>
    <row r="110" spans="1:11" ht="17" thickBot="1" x14ac:dyDescent="0.25">
      <c r="A110" s="1" t="s">
        <v>1205</v>
      </c>
      <c r="F110" s="60">
        <v>-3734.69</v>
      </c>
      <c r="G110" s="12" t="s">
        <v>1203</v>
      </c>
      <c r="H110" s="1" t="s">
        <v>51</v>
      </c>
      <c r="I110" s="149"/>
      <c r="J110" s="149"/>
      <c r="K110" s="149"/>
    </row>
    <row r="111" spans="1:11" x14ac:dyDescent="0.2">
      <c r="I111" s="149"/>
      <c r="J111" s="149"/>
      <c r="K111" s="149"/>
    </row>
    <row r="112" spans="1:11" x14ac:dyDescent="0.2">
      <c r="A112" s="2" t="s">
        <v>1182</v>
      </c>
      <c r="I112" s="149"/>
      <c r="J112" s="149"/>
      <c r="K112" s="149"/>
    </row>
    <row r="114" spans="1:8" x14ac:dyDescent="0.2">
      <c r="G114" s="32" t="s">
        <v>1194</v>
      </c>
    </row>
    <row r="115" spans="1:8" x14ac:dyDescent="0.2">
      <c r="A115" s="1" t="s">
        <v>1206</v>
      </c>
      <c r="F115" s="12">
        <v>85</v>
      </c>
      <c r="G115" s="12" t="s">
        <v>1195</v>
      </c>
    </row>
    <row r="116" spans="1:8" x14ac:dyDescent="0.2">
      <c r="A116" s="1" t="s">
        <v>1207</v>
      </c>
      <c r="B116" s="1">
        <f>7*12</f>
        <v>84</v>
      </c>
      <c r="C116" s="1" t="s">
        <v>382</v>
      </c>
      <c r="F116" s="12">
        <v>96</v>
      </c>
      <c r="G116" s="12" t="s">
        <v>1196</v>
      </c>
    </row>
    <row r="117" spans="1:8" x14ac:dyDescent="0.2">
      <c r="A117" s="1" t="s">
        <v>1208</v>
      </c>
      <c r="B117" s="1">
        <f>8*12</f>
        <v>96</v>
      </c>
      <c r="C117" s="1" t="s">
        <v>382</v>
      </c>
      <c r="F117" s="12"/>
      <c r="G117" s="12"/>
    </row>
    <row r="118" spans="1:8" x14ac:dyDescent="0.2">
      <c r="A118" s="1" t="s">
        <v>1209</v>
      </c>
      <c r="F118" s="12"/>
      <c r="G118" s="12"/>
    </row>
    <row r="119" spans="1:8" x14ac:dyDescent="0.2">
      <c r="A119" s="1" t="s">
        <v>1210</v>
      </c>
    </row>
    <row r="120" spans="1:8" ht="17" thickBot="1" x14ac:dyDescent="0.25"/>
    <row r="121" spans="1:8" ht="17" thickBot="1" x14ac:dyDescent="0.25">
      <c r="A121" s="1" t="s">
        <v>1205</v>
      </c>
      <c r="F121" s="60">
        <v>-51278.78</v>
      </c>
      <c r="G121" s="12"/>
      <c r="H121" s="1" t="s">
        <v>51</v>
      </c>
    </row>
    <row r="123" spans="1:8" x14ac:dyDescent="0.2">
      <c r="A123" s="1" t="s">
        <v>1211</v>
      </c>
      <c r="C123" s="1" t="s">
        <v>1212</v>
      </c>
    </row>
    <row r="124" spans="1:8" ht="17" thickBot="1" x14ac:dyDescent="0.25"/>
    <row r="125" spans="1:8" ht="17" thickBot="1" x14ac:dyDescent="0.25">
      <c r="A125" s="103" t="s">
        <v>1213</v>
      </c>
      <c r="B125" s="6"/>
      <c r="C125" s="6"/>
      <c r="D125" s="6"/>
      <c r="E125" s="6"/>
      <c r="F125" s="6"/>
      <c r="G125" s="6"/>
      <c r="H125" s="7"/>
    </row>
    <row r="126" spans="1:8" x14ac:dyDescent="0.2">
      <c r="A126" s="1" t="s">
        <v>1214</v>
      </c>
    </row>
    <row r="127" spans="1:8" x14ac:dyDescent="0.2">
      <c r="A127" s="1" t="s">
        <v>1215</v>
      </c>
    </row>
    <row r="128" spans="1:8" x14ac:dyDescent="0.2">
      <c r="A128" s="1" t="s">
        <v>1216</v>
      </c>
    </row>
    <row r="129" spans="1:8" x14ac:dyDescent="0.2">
      <c r="A129" s="1" t="s">
        <v>1179</v>
      </c>
    </row>
    <row r="130" spans="1:8" x14ac:dyDescent="0.2">
      <c r="A130" s="1" t="s">
        <v>1217</v>
      </c>
    </row>
    <row r="131" spans="1:8" x14ac:dyDescent="0.2">
      <c r="A131" s="1" t="s">
        <v>1218</v>
      </c>
    </row>
    <row r="132" spans="1:8" x14ac:dyDescent="0.2">
      <c r="A132" s="1" t="s">
        <v>1219</v>
      </c>
    </row>
    <row r="134" spans="1:8" x14ac:dyDescent="0.2">
      <c r="D134" s="151" t="s">
        <v>291</v>
      </c>
      <c r="G134" s="151" t="s">
        <v>290</v>
      </c>
    </row>
    <row r="135" spans="1:8" x14ac:dyDescent="0.2">
      <c r="D135" s="12">
        <f>6*12</f>
        <v>72</v>
      </c>
      <c r="E135" s="1" t="s">
        <v>1195</v>
      </c>
      <c r="G135" s="70">
        <f>15*12</f>
        <v>180</v>
      </c>
      <c r="H135" s="1" t="s">
        <v>1220</v>
      </c>
    </row>
    <row r="136" spans="1:8" x14ac:dyDescent="0.2">
      <c r="D136" s="12">
        <f>D135</f>
        <v>72</v>
      </c>
      <c r="E136" s="1" t="s">
        <v>1196</v>
      </c>
      <c r="G136" s="152">
        <f>((1+10%)^(1/12)-1)*100</f>
        <v>0.79741404289037643</v>
      </c>
      <c r="H136" s="1" t="s">
        <v>42</v>
      </c>
    </row>
    <row r="137" spans="1:8" x14ac:dyDescent="0.2">
      <c r="D137" s="12"/>
      <c r="G137" s="70">
        <v>400000</v>
      </c>
      <c r="H137" s="1" t="s">
        <v>39</v>
      </c>
    </row>
    <row r="138" spans="1:8" x14ac:dyDescent="0.2">
      <c r="D138" s="80">
        <f>PV(G136/100,G135-D136,G138,G139)</f>
        <v>302864.24492400908</v>
      </c>
      <c r="E138" s="1" t="s">
        <v>1222</v>
      </c>
      <c r="G138" s="80">
        <f>PMT(G136/100,G135,G137,G139)</f>
        <v>-4193.5614384730661</v>
      </c>
      <c r="H138" s="1" t="s">
        <v>47</v>
      </c>
    </row>
    <row r="139" spans="1:8" x14ac:dyDescent="0.2">
      <c r="D139" s="12"/>
      <c r="G139" s="70">
        <v>0</v>
      </c>
      <c r="H139" s="1" t="s">
        <v>50</v>
      </c>
    </row>
    <row r="140" spans="1:8" x14ac:dyDescent="0.2">
      <c r="A140" s="151" t="s">
        <v>1223</v>
      </c>
      <c r="D140" s="151" t="s">
        <v>292</v>
      </c>
    </row>
    <row r="141" spans="1:8" x14ac:dyDescent="0.2">
      <c r="A141" s="12">
        <v>1</v>
      </c>
      <c r="B141" s="1" t="s">
        <v>1195</v>
      </c>
      <c r="D141" s="12">
        <v>78</v>
      </c>
      <c r="E141" s="1" t="s">
        <v>1195</v>
      </c>
    </row>
    <row r="142" spans="1:8" x14ac:dyDescent="0.2">
      <c r="A142" s="12">
        <v>12</v>
      </c>
      <c r="B142" s="1" t="s">
        <v>1196</v>
      </c>
      <c r="D142" s="12">
        <v>78</v>
      </c>
      <c r="E142" s="1" t="s">
        <v>1196</v>
      </c>
    </row>
    <row r="143" spans="1:8" x14ac:dyDescent="0.2">
      <c r="A143" s="12"/>
      <c r="D143" s="12"/>
    </row>
    <row r="144" spans="1:8" x14ac:dyDescent="0.2">
      <c r="A144" s="91">
        <v>37732.550000000003</v>
      </c>
      <c r="B144" s="1" t="s">
        <v>1224</v>
      </c>
      <c r="D144" s="80">
        <f>PV(G136/100,G135-D141+1,G138,G139)*G136/100</f>
        <v>2343.0328627345934</v>
      </c>
      <c r="E144" s="1" t="s">
        <v>1221</v>
      </c>
    </row>
    <row r="145" spans="1:8" ht="17" thickBot="1" x14ac:dyDescent="0.25"/>
    <row r="146" spans="1:8" ht="17" thickBot="1" x14ac:dyDescent="0.25">
      <c r="A146" s="103" t="s">
        <v>1225</v>
      </c>
      <c r="B146" s="6"/>
      <c r="C146" s="6"/>
      <c r="D146" s="6"/>
      <c r="E146" s="6"/>
      <c r="F146" s="6"/>
      <c r="G146" s="6"/>
      <c r="H146" s="7"/>
    </row>
    <row r="147" spans="1:8" x14ac:dyDescent="0.2">
      <c r="A147" s="1" t="s">
        <v>1226</v>
      </c>
    </row>
    <row r="148" spans="1:8" x14ac:dyDescent="0.2">
      <c r="A148" s="1" t="s">
        <v>1227</v>
      </c>
    </row>
    <row r="149" spans="1:8" x14ac:dyDescent="0.2">
      <c r="A149" s="1" t="s">
        <v>1228</v>
      </c>
    </row>
    <row r="150" spans="1:8" x14ac:dyDescent="0.2">
      <c r="A150" s="1" t="s">
        <v>1229</v>
      </c>
      <c r="B150" s="153">
        <v>0.3</v>
      </c>
      <c r="C150" s="1" t="s">
        <v>1230</v>
      </c>
      <c r="D150" s="1" t="s">
        <v>1231</v>
      </c>
    </row>
    <row r="151" spans="1:8" x14ac:dyDescent="0.2">
      <c r="A151" s="1" t="s">
        <v>1232</v>
      </c>
      <c r="B151" s="153">
        <v>0.7</v>
      </c>
      <c r="C151" s="1" t="s">
        <v>1230</v>
      </c>
      <c r="D151" s="1" t="s">
        <v>1233</v>
      </c>
    </row>
    <row r="153" spans="1:8" x14ac:dyDescent="0.2">
      <c r="A153" s="1" t="s">
        <v>1234</v>
      </c>
    </row>
    <row r="155" spans="1:8" x14ac:dyDescent="0.2">
      <c r="A155" s="1" t="s">
        <v>719</v>
      </c>
    </row>
    <row r="156" spans="1:8" x14ac:dyDescent="0.2">
      <c r="A156" s="1" t="s">
        <v>1242</v>
      </c>
    </row>
    <row r="157" spans="1:8" x14ac:dyDescent="0.2">
      <c r="A157" s="1" t="s">
        <v>1235</v>
      </c>
    </row>
    <row r="158" spans="1:8" x14ac:dyDescent="0.2">
      <c r="A158" s="1" t="s">
        <v>1237</v>
      </c>
    </row>
    <row r="159" spans="1:8" x14ac:dyDescent="0.2">
      <c r="B159" s="1" t="s">
        <v>1238</v>
      </c>
    </row>
    <row r="160" spans="1:8" x14ac:dyDescent="0.2">
      <c r="B160" s="1" t="s">
        <v>1239</v>
      </c>
    </row>
    <row r="161" spans="1:9" x14ac:dyDescent="0.2">
      <c r="A161" s="1" t="s">
        <v>1236</v>
      </c>
    </row>
    <row r="162" spans="1:9" x14ac:dyDescent="0.2">
      <c r="B162" s="1" t="s">
        <v>1238</v>
      </c>
    </row>
    <row r="163" spans="1:9" x14ac:dyDescent="0.2">
      <c r="B163" s="1" t="s">
        <v>1249</v>
      </c>
    </row>
    <row r="165" spans="1:9" x14ac:dyDescent="0.2">
      <c r="A165" s="154" t="s">
        <v>1243</v>
      </c>
      <c r="B165" s="154"/>
      <c r="C165" s="154"/>
      <c r="D165" s="154"/>
      <c r="E165" s="154"/>
      <c r="F165" s="154"/>
      <c r="G165" s="154"/>
      <c r="H165" s="154"/>
      <c r="I165" s="154"/>
    </row>
    <row r="166" spans="1:9" x14ac:dyDescent="0.2">
      <c r="A166" s="1" t="s">
        <v>1229</v>
      </c>
      <c r="D166" s="1" t="s">
        <v>1232</v>
      </c>
      <c r="G166" s="1" t="s">
        <v>1240</v>
      </c>
    </row>
    <row r="167" spans="1:9" x14ac:dyDescent="0.2">
      <c r="A167" s="70">
        <f>30*12</f>
        <v>360</v>
      </c>
      <c r="B167" s="1" t="s">
        <v>1220</v>
      </c>
      <c r="D167" s="70">
        <f>30*12</f>
        <v>360</v>
      </c>
      <c r="E167" s="1" t="s">
        <v>1220</v>
      </c>
    </row>
    <row r="168" spans="1:9" x14ac:dyDescent="0.2">
      <c r="A168" s="152">
        <f>((1+6.5%)^(1/12)-1)*100</f>
        <v>0.52616942768477504</v>
      </c>
      <c r="B168" s="1" t="s">
        <v>42</v>
      </c>
      <c r="D168" s="152">
        <f>((1+7%)^(1/12)-1)*100</f>
        <v>0.56541453874052738</v>
      </c>
      <c r="E168" s="1" t="s">
        <v>42</v>
      </c>
    </row>
    <row r="169" spans="1:9" x14ac:dyDescent="0.2">
      <c r="A169" s="70">
        <f>30%*600000</f>
        <v>180000</v>
      </c>
      <c r="B169" s="1" t="s">
        <v>39</v>
      </c>
      <c r="D169" s="70">
        <f>600000*70%</f>
        <v>420000</v>
      </c>
      <c r="E169" s="1" t="s">
        <v>39</v>
      </c>
    </row>
    <row r="170" spans="1:9" x14ac:dyDescent="0.2">
      <c r="A170" s="80">
        <f>PMT(A168/100,A167,A169,A171)</f>
        <v>-1115.7980942795512</v>
      </c>
      <c r="B170" s="1" t="s">
        <v>47</v>
      </c>
      <c r="D170" s="80">
        <f>PMT(D168/100,D167,D169,D171)</f>
        <v>-2733.8834501995775</v>
      </c>
      <c r="E170" s="1" t="s">
        <v>47</v>
      </c>
      <c r="G170" s="36">
        <f>A170+D170</f>
        <v>-3849.6815444791287</v>
      </c>
      <c r="I170" s="1" t="s">
        <v>1241</v>
      </c>
    </row>
    <row r="171" spans="1:9" x14ac:dyDescent="0.2">
      <c r="A171" s="70">
        <v>0</v>
      </c>
      <c r="B171" s="1" t="s">
        <v>50</v>
      </c>
      <c r="D171" s="70">
        <v>0</v>
      </c>
      <c r="E171" s="1" t="s">
        <v>50</v>
      </c>
    </row>
    <row r="172" spans="1:9" x14ac:dyDescent="0.2">
      <c r="A172" s="12"/>
    </row>
    <row r="173" spans="1:9" x14ac:dyDescent="0.2">
      <c r="A173" s="155" t="s">
        <v>1244</v>
      </c>
      <c r="B173" s="154"/>
      <c r="C173" s="154"/>
      <c r="D173" s="154"/>
      <c r="E173" s="154"/>
      <c r="F173" s="154"/>
      <c r="G173" s="154"/>
      <c r="H173" s="154"/>
      <c r="I173" s="154"/>
    </row>
    <row r="174" spans="1:9" x14ac:dyDescent="0.2">
      <c r="A174" s="12" t="s">
        <v>1229</v>
      </c>
      <c r="D174" s="1" t="s">
        <v>1232</v>
      </c>
      <c r="G174" s="1" t="s">
        <v>1240</v>
      </c>
    </row>
    <row r="175" spans="1:9" x14ac:dyDescent="0.2">
      <c r="A175" s="12">
        <v>60</v>
      </c>
      <c r="B175" s="1" t="s">
        <v>1245</v>
      </c>
      <c r="D175" s="12">
        <v>60</v>
      </c>
      <c r="E175" s="1" t="s">
        <v>1245</v>
      </c>
    </row>
    <row r="176" spans="1:9" x14ac:dyDescent="0.2">
      <c r="A176" s="12">
        <v>60</v>
      </c>
      <c r="B176" s="1" t="s">
        <v>1246</v>
      </c>
      <c r="D176" s="12">
        <v>60</v>
      </c>
      <c r="E176" s="1" t="s">
        <v>1246</v>
      </c>
    </row>
    <row r="177" spans="1:9" x14ac:dyDescent="0.2">
      <c r="A177" s="12"/>
    </row>
    <row r="178" spans="1:9" x14ac:dyDescent="0.2">
      <c r="A178" s="42">
        <f>PV(A168/100,A167-A175,A170,A171)</f>
        <v>168134.79607843474</v>
      </c>
      <c r="B178" s="1" t="s">
        <v>1222</v>
      </c>
      <c r="D178" s="42">
        <f>PV(D168/100,D167-D175,D170,D171)</f>
        <v>394430.54966828175</v>
      </c>
      <c r="E178" s="1" t="s">
        <v>1222</v>
      </c>
      <c r="G178" s="36">
        <f>A178+D178</f>
        <v>562565.34574671648</v>
      </c>
      <c r="I178" s="1" t="s">
        <v>1247</v>
      </c>
    </row>
    <row r="179" spans="1:9" x14ac:dyDescent="0.2">
      <c r="A179" s="12"/>
    </row>
    <row r="180" spans="1:9" x14ac:dyDescent="0.2">
      <c r="A180" s="155" t="s">
        <v>1248</v>
      </c>
      <c r="B180" s="154"/>
      <c r="C180" s="154"/>
      <c r="D180" s="154"/>
      <c r="E180" s="154"/>
      <c r="F180" s="154"/>
      <c r="G180" s="154"/>
      <c r="H180" s="154"/>
      <c r="I180" s="154"/>
    </row>
    <row r="181" spans="1:9" x14ac:dyDescent="0.2">
      <c r="A181" s="12" t="s">
        <v>1229</v>
      </c>
      <c r="D181" s="1" t="s">
        <v>1232</v>
      </c>
      <c r="G181" s="1" t="s">
        <v>1240</v>
      </c>
    </row>
    <row r="182" spans="1:9" x14ac:dyDescent="0.2">
      <c r="A182" s="12">
        <v>1</v>
      </c>
      <c r="B182" s="1" t="s">
        <v>1245</v>
      </c>
      <c r="D182" s="1">
        <v>1</v>
      </c>
      <c r="E182" s="1" t="s">
        <v>1245</v>
      </c>
    </row>
    <row r="183" spans="1:9" x14ac:dyDescent="0.2">
      <c r="A183" s="12">
        <v>60</v>
      </c>
      <c r="B183" s="1" t="s">
        <v>1246</v>
      </c>
      <c r="D183" s="1">
        <v>60</v>
      </c>
      <c r="E183" s="1" t="s">
        <v>1246</v>
      </c>
    </row>
    <row r="184" spans="1:9" ht="17" thickBot="1" x14ac:dyDescent="0.25"/>
    <row r="185" spans="1:9" x14ac:dyDescent="0.2">
      <c r="A185" s="156">
        <v>-54414</v>
      </c>
      <c r="B185" s="1" t="s">
        <v>1224</v>
      </c>
      <c r="D185" s="156">
        <v>-138462.06</v>
      </c>
      <c r="E185" s="1" t="s">
        <v>1224</v>
      </c>
      <c r="G185" s="36">
        <f>A185+D185</f>
        <v>-192876.06</v>
      </c>
      <c r="I185" s="1" t="s">
        <v>1247</v>
      </c>
    </row>
    <row r="186" spans="1:9" ht="17" thickBot="1" x14ac:dyDescent="0.25">
      <c r="A186" s="44" t="s">
        <v>1250</v>
      </c>
      <c r="D186" s="44" t="s">
        <v>1251</v>
      </c>
    </row>
  </sheetData>
  <mergeCells count="2">
    <mergeCell ref="A30:D30"/>
    <mergeCell ref="E30:H3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שיעור 1</vt:lpstr>
      <vt:lpstr>שיעור 2</vt:lpstr>
      <vt:lpstr>שיעור 3</vt:lpstr>
      <vt:lpstr>שיעור 4</vt:lpstr>
      <vt:lpstr>שיעור 5</vt:lpstr>
      <vt:lpstr>שיעור 6</vt:lpstr>
      <vt:lpstr>שיעור 7 ופתרון מטלה 1</vt:lpstr>
      <vt:lpstr>שיעור 8</vt:lpstr>
      <vt:lpstr>שיעור 9</vt:lpstr>
      <vt:lpstr>שיעור 10</vt:lpstr>
      <vt:lpstr>שיעור 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2024-11-03T11:56:39Z</dcterms:created>
  <dcterms:modified xsi:type="dcterms:W3CDTF">2025-08-12T12:56:18Z</dcterms:modified>
</cp:coreProperties>
</file>